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2" i="1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I501"/>
  <c r="H501"/>
  <c r="K505" s="1"/>
  <c r="I488"/>
  <c r="I493" s="1"/>
  <c r="G488"/>
  <c r="K493"/>
  <c r="J476"/>
  <c r="O472"/>
  <c r="O471"/>
  <c r="J473"/>
  <c r="J468"/>
  <c r="J466"/>
  <c r="J464"/>
  <c r="M430"/>
  <c r="M431" s="1"/>
  <c r="M432" s="1"/>
  <c r="R410"/>
  <c r="I394"/>
  <c r="J394"/>
  <c r="K394"/>
  <c r="L394"/>
  <c r="M394"/>
  <c r="N394"/>
  <c r="O394"/>
  <c r="P394"/>
  <c r="H394"/>
  <c r="S378"/>
  <c r="R386"/>
  <c r="R385"/>
  <c r="R384"/>
  <c r="L351"/>
  <c r="K351"/>
  <c r="N276"/>
  <c r="N277"/>
  <c r="N275"/>
  <c r="N240"/>
  <c r="M240"/>
  <c r="L217"/>
  <c r="L215"/>
  <c r="L205"/>
  <c r="H178"/>
  <c r="H179"/>
  <c r="H180"/>
  <c r="H181"/>
  <c r="H177"/>
  <c r="H176"/>
  <c r="G176"/>
  <c r="G177" s="1"/>
  <c r="G178" s="1"/>
  <c r="G179" s="1"/>
  <c r="G180" s="1"/>
  <c r="G181" s="1"/>
  <c r="N170"/>
  <c r="P170" s="1"/>
  <c r="N169"/>
  <c r="P169" s="1"/>
  <c r="N168"/>
  <c r="P168" s="1"/>
  <c r="N167"/>
  <c r="P167" s="1"/>
  <c r="P148"/>
  <c r="P147"/>
  <c r="P146"/>
  <c r="P145"/>
  <c r="K139"/>
  <c r="K140" s="1"/>
  <c r="K142" s="1"/>
  <c r="O5"/>
  <c r="O6"/>
  <c r="O4"/>
  <c r="S387"/>
  <c r="L505"/>
  <c r="S385"/>
  <c r="J469"/>
  <c r="S384"/>
  <c r="L504"/>
  <c r="P149" l="1"/>
  <c r="H182"/>
  <c r="K502"/>
  <c r="K504"/>
  <c r="K507" s="1"/>
  <c r="O240"/>
  <c r="O242" s="1"/>
</calcChain>
</file>

<file path=xl/sharedStrings.xml><?xml version="1.0" encoding="utf-8"?>
<sst xmlns="http://schemas.openxmlformats.org/spreadsheetml/2006/main" count="408" uniqueCount="325">
  <si>
    <t>Savers</t>
  </si>
  <si>
    <t>Individuals</t>
  </si>
  <si>
    <t>Govts</t>
  </si>
  <si>
    <t>Corporations/Instt/Organisations</t>
  </si>
  <si>
    <t>Spenders</t>
  </si>
  <si>
    <t>Financial Market</t>
  </si>
  <si>
    <t>Equity</t>
  </si>
  <si>
    <t>Commodity</t>
  </si>
  <si>
    <t>RE</t>
  </si>
  <si>
    <t>Debt/FIS</t>
  </si>
  <si>
    <t>Fx</t>
  </si>
  <si>
    <t>Products</t>
  </si>
  <si>
    <t>MF</t>
  </si>
  <si>
    <t>Derivatives</t>
  </si>
  <si>
    <t>A/C</t>
  </si>
  <si>
    <t>Perishable/NP</t>
  </si>
  <si>
    <t>Tangible/Intangible</t>
  </si>
  <si>
    <t>Hard/Soft</t>
  </si>
  <si>
    <t>Metals</t>
  </si>
  <si>
    <t>Energy</t>
  </si>
  <si>
    <t>IM</t>
  </si>
  <si>
    <t>PM</t>
  </si>
  <si>
    <t>CO</t>
  </si>
  <si>
    <t>NG</t>
  </si>
  <si>
    <t>Coal</t>
  </si>
  <si>
    <t>Alloys</t>
  </si>
  <si>
    <t>Brass</t>
  </si>
  <si>
    <t>Steel</t>
  </si>
  <si>
    <t>Misc</t>
  </si>
  <si>
    <t>Diamond</t>
  </si>
  <si>
    <t>Stones</t>
  </si>
  <si>
    <t>Soft</t>
  </si>
  <si>
    <t>Cereals</t>
  </si>
  <si>
    <t>Pulses</t>
  </si>
  <si>
    <t>Spices</t>
  </si>
  <si>
    <t>Livestock</t>
  </si>
  <si>
    <t>Plantations</t>
  </si>
  <si>
    <t>FV</t>
  </si>
  <si>
    <t>Corporates</t>
  </si>
  <si>
    <t>Hedge/PRM</t>
  </si>
  <si>
    <t>Price Discovery</t>
  </si>
  <si>
    <t>Inflation hedge</t>
  </si>
  <si>
    <t>Portfolio diversifier</t>
  </si>
  <si>
    <t>Cap App</t>
  </si>
  <si>
    <t>Ownership/Rights</t>
  </si>
  <si>
    <t>Dividends</t>
  </si>
  <si>
    <t>DVR</t>
  </si>
  <si>
    <t>Privately</t>
  </si>
  <si>
    <t>Publicly</t>
  </si>
  <si>
    <t>PP</t>
  </si>
  <si>
    <t>PI</t>
  </si>
  <si>
    <t>Expansion</t>
  </si>
  <si>
    <t>Debt repayment</t>
  </si>
  <si>
    <t>Diversification</t>
  </si>
  <si>
    <t>WCR</t>
  </si>
  <si>
    <t>Exit option</t>
  </si>
  <si>
    <t>IPO</t>
  </si>
  <si>
    <t>FPO</t>
  </si>
  <si>
    <t>OFS</t>
  </si>
  <si>
    <t>ESOP</t>
  </si>
  <si>
    <t>Rights</t>
  </si>
  <si>
    <t>Splits</t>
  </si>
  <si>
    <t>Bonus</t>
  </si>
  <si>
    <t>Forex market</t>
  </si>
  <si>
    <t>$1800/toz</t>
  </si>
  <si>
    <t>Xauusd</t>
  </si>
  <si>
    <t>USD</t>
  </si>
  <si>
    <t>EUR</t>
  </si>
  <si>
    <t>GBP</t>
  </si>
  <si>
    <t>JPY</t>
  </si>
  <si>
    <t>CNY</t>
  </si>
  <si>
    <t>Exchange</t>
  </si>
  <si>
    <t>Stocks</t>
  </si>
  <si>
    <t>Bonds</t>
  </si>
  <si>
    <t>ETFs</t>
  </si>
  <si>
    <t>DR</t>
  </si>
  <si>
    <t>MF/REITS</t>
  </si>
  <si>
    <t>Index</t>
  </si>
  <si>
    <t>Index der</t>
  </si>
  <si>
    <t>Methodologies</t>
  </si>
  <si>
    <t>Economy</t>
  </si>
  <si>
    <t>Sector</t>
  </si>
  <si>
    <t>Sectoral Index</t>
  </si>
  <si>
    <t>Broadbased/BM index</t>
  </si>
  <si>
    <t>Price Weighted Index</t>
  </si>
  <si>
    <t>Equal</t>
  </si>
  <si>
    <t>Trade</t>
  </si>
  <si>
    <t>Volatility</t>
  </si>
  <si>
    <t>Fundamental</t>
  </si>
  <si>
    <t>MCWI</t>
  </si>
  <si>
    <t>FFMCWI</t>
  </si>
  <si>
    <t>Banknifty</t>
  </si>
  <si>
    <t>NFS</t>
  </si>
  <si>
    <t>NIT</t>
  </si>
  <si>
    <t>NFMCG</t>
  </si>
  <si>
    <t>N-Auto</t>
  </si>
  <si>
    <t>Sensex</t>
  </si>
  <si>
    <t>Nifty</t>
  </si>
  <si>
    <t>Long</t>
  </si>
  <si>
    <t>Short</t>
  </si>
  <si>
    <t>Underlying</t>
  </si>
  <si>
    <t>Platform</t>
  </si>
  <si>
    <t>Participants</t>
  </si>
  <si>
    <t>Forex</t>
  </si>
  <si>
    <t>FIS</t>
  </si>
  <si>
    <t>OTC</t>
  </si>
  <si>
    <t>OTE</t>
  </si>
  <si>
    <t>Speculator</t>
  </si>
  <si>
    <t>Hedger</t>
  </si>
  <si>
    <t>Arbitrager</t>
  </si>
  <si>
    <t>Forward</t>
  </si>
  <si>
    <t>Futures</t>
  </si>
  <si>
    <t>Options</t>
  </si>
  <si>
    <t>Swaps</t>
  </si>
  <si>
    <t>LEAPS</t>
  </si>
  <si>
    <t>SD/Exotic Derivatives</t>
  </si>
  <si>
    <t>TRS</t>
  </si>
  <si>
    <t>A</t>
  </si>
  <si>
    <t>B</t>
  </si>
  <si>
    <t>Fixed</t>
  </si>
  <si>
    <t>Floating</t>
  </si>
  <si>
    <t>Standardized</t>
  </si>
  <si>
    <t>Quantity/Lot Sizes</t>
  </si>
  <si>
    <t>Expiry Dates</t>
  </si>
  <si>
    <t>Quality (Comm)</t>
  </si>
  <si>
    <t>Price Quotes</t>
  </si>
  <si>
    <t>1kg, 100gms, 8gms, 1gm</t>
  </si>
  <si>
    <t>Rs/10gms</t>
  </si>
  <si>
    <t>50000/10gms</t>
  </si>
  <si>
    <t>10 lots</t>
  </si>
  <si>
    <t>1 lot</t>
  </si>
  <si>
    <t>100 shares</t>
  </si>
  <si>
    <t>Shorting Price</t>
  </si>
  <si>
    <t>SS TCS</t>
  </si>
  <si>
    <t xml:space="preserve">Long RIL </t>
  </si>
  <si>
    <t>5 lots</t>
  </si>
  <si>
    <t>CMP</t>
  </si>
  <si>
    <t>SS 3 Kg Gold</t>
  </si>
  <si>
    <t>Long 10 lots Silver</t>
  </si>
  <si>
    <t>1 kg</t>
  </si>
  <si>
    <t>Lot size</t>
  </si>
  <si>
    <t>Position</t>
  </si>
  <si>
    <t>TP</t>
  </si>
  <si>
    <t>10gms</t>
  </si>
  <si>
    <t>1kg</t>
  </si>
  <si>
    <t>Lots</t>
  </si>
  <si>
    <t>Open Interest</t>
  </si>
  <si>
    <t>TA</t>
  </si>
  <si>
    <t>P/L</t>
  </si>
  <si>
    <t>Margin</t>
  </si>
  <si>
    <t>`+1%</t>
  </si>
  <si>
    <t>`+2%</t>
  </si>
  <si>
    <t>`+4%</t>
  </si>
  <si>
    <t>VaR</t>
  </si>
  <si>
    <t>SM/ELM/EM/VM</t>
  </si>
  <si>
    <t>SPAN</t>
  </si>
  <si>
    <t>Product</t>
  </si>
  <si>
    <t>Lot Size</t>
  </si>
  <si>
    <t>Contract Value</t>
  </si>
  <si>
    <t>Margin reqd</t>
  </si>
  <si>
    <t>Margin %</t>
  </si>
  <si>
    <t>Adani ports</t>
  </si>
  <si>
    <t>Gold</t>
  </si>
  <si>
    <t>USDINR</t>
  </si>
  <si>
    <t>Maintenance margin</t>
  </si>
  <si>
    <t>MTM</t>
  </si>
  <si>
    <t>Valuation</t>
  </si>
  <si>
    <t>2lac</t>
  </si>
  <si>
    <t>S+ C + U -L</t>
  </si>
  <si>
    <t>F=S*(1+r)^t</t>
  </si>
  <si>
    <t>F=S*e^rt</t>
  </si>
  <si>
    <t>Backwardation</t>
  </si>
  <si>
    <t>F&lt;S</t>
  </si>
  <si>
    <t>Contango</t>
  </si>
  <si>
    <t>F&gt;S</t>
  </si>
  <si>
    <t>Arbitrage</t>
  </si>
  <si>
    <t>Open Int</t>
  </si>
  <si>
    <t>TCS</t>
  </si>
  <si>
    <t>R</t>
  </si>
  <si>
    <t>U</t>
  </si>
  <si>
    <t>LB</t>
  </si>
  <si>
    <t>3 months fut price</t>
  </si>
  <si>
    <t>Silver</t>
  </si>
  <si>
    <t>2% per quarter</t>
  </si>
  <si>
    <t>0.1% per month</t>
  </si>
  <si>
    <t>3% pa</t>
  </si>
  <si>
    <t>6 months Futures price</t>
  </si>
  <si>
    <t>S</t>
  </si>
  <si>
    <t>F</t>
  </si>
  <si>
    <t>F`</t>
  </si>
  <si>
    <t>Borrow 100</t>
  </si>
  <si>
    <t>Shortsell</t>
  </si>
  <si>
    <t>Call</t>
  </si>
  <si>
    <t>Put</t>
  </si>
  <si>
    <t>Right to buy</t>
  </si>
  <si>
    <t>Right to sell</t>
  </si>
  <si>
    <t>1 lac</t>
  </si>
  <si>
    <t>Put Buyer</t>
  </si>
  <si>
    <t>Right to Sell</t>
  </si>
  <si>
    <t>Put Seller</t>
  </si>
  <si>
    <t>Obligation to buy</t>
  </si>
  <si>
    <t>2400 PE+</t>
  </si>
  <si>
    <t>2400 PE-</t>
  </si>
  <si>
    <t>Delta</t>
  </si>
  <si>
    <t>Strategy</t>
  </si>
  <si>
    <t>C</t>
  </si>
  <si>
    <t>17000CE</t>
  </si>
  <si>
    <t>ITM</t>
  </si>
  <si>
    <t>0.5-1.0</t>
  </si>
  <si>
    <t>Call Option</t>
  </si>
  <si>
    <t>ATM</t>
  </si>
  <si>
    <t>Call Buyer</t>
  </si>
  <si>
    <t>Positive</t>
  </si>
  <si>
    <t>Call Seller</t>
  </si>
  <si>
    <t>Neg</t>
  </si>
  <si>
    <t>Fundamental Analysis</t>
  </si>
  <si>
    <t>Business Analysis</t>
  </si>
  <si>
    <t>Financial Analysis</t>
  </si>
  <si>
    <t>Industry Analysis</t>
  </si>
  <si>
    <t>Management Analysis</t>
  </si>
  <si>
    <t>Valuation Analysis</t>
  </si>
  <si>
    <t>Economy Analysis</t>
  </si>
  <si>
    <t>Industry Comparison</t>
  </si>
  <si>
    <t>Terminology of Financial Research</t>
  </si>
  <si>
    <t>Income Statement</t>
  </si>
  <si>
    <t>Revenue</t>
  </si>
  <si>
    <t>Topline</t>
  </si>
  <si>
    <t>Bottomline</t>
  </si>
  <si>
    <t xml:space="preserve"> -COGS</t>
  </si>
  <si>
    <t xml:space="preserve"> =Gross profit</t>
  </si>
  <si>
    <t xml:space="preserve"> -SG&amp;A</t>
  </si>
  <si>
    <t xml:space="preserve"> =EBITDA</t>
  </si>
  <si>
    <t xml:space="preserve"> -Dep/Amor</t>
  </si>
  <si>
    <t xml:space="preserve"> =EBIT</t>
  </si>
  <si>
    <t xml:space="preserve"> -Int Exp</t>
  </si>
  <si>
    <t xml:space="preserve"> =EBT/PBT</t>
  </si>
  <si>
    <t xml:space="preserve"> -Tax</t>
  </si>
  <si>
    <t xml:space="preserve"> =PAT/NI/NE/EAT</t>
  </si>
  <si>
    <t>Reserves &amp; Surplus</t>
  </si>
  <si>
    <t>Preffered Shareholders</t>
  </si>
  <si>
    <t>Common Shareholders</t>
  </si>
  <si>
    <t>Face Value</t>
  </si>
  <si>
    <t>Intrinsic Value</t>
  </si>
  <si>
    <t>Enterprise Value</t>
  </si>
  <si>
    <t>A= L+SE</t>
  </si>
  <si>
    <t>EV</t>
  </si>
  <si>
    <t>TD+TE-C/CE</t>
  </si>
  <si>
    <t>Market Value</t>
  </si>
  <si>
    <t>Mcap</t>
  </si>
  <si>
    <t>Book Value</t>
  </si>
  <si>
    <t>Book value</t>
  </si>
  <si>
    <t>Assets-Liab-PE</t>
  </si>
  <si>
    <t>Assets are mostly overvalued</t>
  </si>
  <si>
    <t>Gross profit</t>
  </si>
  <si>
    <t>Net Profit</t>
  </si>
  <si>
    <t>Operating Profit</t>
  </si>
  <si>
    <t>Historical Earnings</t>
  </si>
  <si>
    <t>Trailing Earnings</t>
  </si>
  <si>
    <t>Forward Earnings</t>
  </si>
  <si>
    <t>EPS</t>
  </si>
  <si>
    <t>HEPS</t>
  </si>
  <si>
    <t>TEPS</t>
  </si>
  <si>
    <t>FEPS</t>
  </si>
  <si>
    <t xml:space="preserve">Basic </t>
  </si>
  <si>
    <t>Diluted</t>
  </si>
  <si>
    <t>NP-PS/(#+CS)</t>
  </si>
  <si>
    <t>Deps</t>
  </si>
  <si>
    <t>Cheaper</t>
  </si>
  <si>
    <t>Expensive</t>
  </si>
  <si>
    <t>P/E</t>
  </si>
  <si>
    <t>Price to Book</t>
  </si>
  <si>
    <t>Bigger</t>
  </si>
  <si>
    <t>Smaller</t>
  </si>
  <si>
    <t>Profit</t>
  </si>
  <si>
    <t>10 yrs</t>
  </si>
  <si>
    <t>CAGR</t>
  </si>
  <si>
    <t>Sales growth&gt; 15%</t>
  </si>
  <si>
    <t>SGT</t>
  </si>
  <si>
    <t>Profitable</t>
  </si>
  <si>
    <t>Profitability</t>
  </si>
  <si>
    <t>GP</t>
  </si>
  <si>
    <t>OP</t>
  </si>
  <si>
    <t>NP</t>
  </si>
  <si>
    <t>OPM</t>
  </si>
  <si>
    <t>Banks</t>
  </si>
  <si>
    <t>Shareholders</t>
  </si>
  <si>
    <t>EBIT</t>
  </si>
  <si>
    <t>EBIT/Int</t>
  </si>
  <si>
    <t>ICR</t>
  </si>
  <si>
    <t>Lenders</t>
  </si>
  <si>
    <t>Govt</t>
  </si>
  <si>
    <t>Balance Sheet</t>
  </si>
  <si>
    <t>Debt/Equity</t>
  </si>
  <si>
    <t>Fixed income Security</t>
  </si>
  <si>
    <t>Corporate</t>
  </si>
  <si>
    <t>Secured</t>
  </si>
  <si>
    <t>Unsecured</t>
  </si>
  <si>
    <t>CBB</t>
  </si>
  <si>
    <t>ZCB/DDB</t>
  </si>
  <si>
    <t>FD</t>
  </si>
  <si>
    <t>r%</t>
  </si>
  <si>
    <t>Embedded options</t>
  </si>
  <si>
    <t>Amortization features</t>
  </si>
  <si>
    <t>PV?price</t>
  </si>
  <si>
    <t>FV/Par/MaturityV/RedemptionV</t>
  </si>
  <si>
    <t>nper</t>
  </si>
  <si>
    <t>Coupons/Annuity/Payment</t>
  </si>
  <si>
    <t>Rate/Y/YTM/IR</t>
  </si>
  <si>
    <t>Find the amount I need to support those requirements from age 70 to 95.</t>
  </si>
  <si>
    <t>Calculator: 3200(1-(1+.045/12)^(-12*25))/(.045/12)</t>
  </si>
  <si>
    <t>PV =</t>
  </si>
  <si>
    <t>I am looking ahead to my retirement and want to be able to retire at 70 and hope to live to 95 and make $3200 a month from an account compounding monthly at 4.5%. I am currently 27 and I am going to deposit $350 at the beginning of each quarter until I am 70 in an account that pays 8.5% and is compounded quarterly. Will I have enough to make it happen and by how much am I above or below?</t>
  </si>
  <si>
    <t>PV</t>
  </si>
  <si>
    <t>pv</t>
  </si>
  <si>
    <t>Date</t>
  </si>
  <si>
    <t>Infy</t>
  </si>
  <si>
    <t>N returns</t>
  </si>
  <si>
    <t>I Returns</t>
  </si>
  <si>
    <t>Beta</t>
  </si>
  <si>
    <t>(B-A)/A</t>
  </si>
  <si>
    <t>B/A-1</t>
  </si>
  <si>
    <t>Demand Supply</t>
  </si>
  <si>
    <t>History</t>
  </si>
  <si>
    <t>Market Discounts</t>
  </si>
  <si>
    <t>Trend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</si>
</sst>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6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22222F"/>
      <name val="Arial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0" borderId="0" xfId="0" applyNumberFormat="1" applyFont="1"/>
    <xf numFmtId="10" fontId="1" fillId="0" borderId="0" xfId="0" applyNumberFormat="1" applyFont="1"/>
    <xf numFmtId="0" fontId="2" fillId="3" borderId="0" xfId="0" applyFont="1" applyFill="1"/>
    <xf numFmtId="14" fontId="1" fillId="0" borderId="0" xfId="0" applyNumberFormat="1" applyFont="1"/>
    <xf numFmtId="0" fontId="1" fillId="3" borderId="0" xfId="0" applyFont="1" applyFill="1"/>
    <xf numFmtId="0" fontId="1" fillId="4" borderId="0" xfId="0" applyFont="1" applyFill="1"/>
    <xf numFmtId="9" fontId="3" fillId="5" borderId="0" xfId="0" applyNumberFormat="1" applyFont="1" applyFill="1"/>
    <xf numFmtId="3" fontId="4" fillId="6" borderId="0" xfId="0" applyNumberFormat="1" applyFont="1" applyFill="1" applyAlignment="1">
      <alignment horizontal="right" vertical="center" wrapText="1" indent="1"/>
    </xf>
    <xf numFmtId="9" fontId="4" fillId="6" borderId="0" xfId="0" applyNumberFormat="1" applyFont="1" applyFill="1" applyAlignment="1">
      <alignment horizontal="right" vertical="center" wrapText="1" indent="1"/>
    </xf>
    <xf numFmtId="0" fontId="5" fillId="5" borderId="0" xfId="0" applyFont="1" applyFill="1"/>
    <xf numFmtId="8" fontId="1" fillId="0" borderId="0" xfId="0" applyNumberFormat="1" applyFont="1"/>
    <xf numFmtId="0" fontId="1" fillId="0" borderId="0" xfId="0" applyFont="1" applyAlignment="1">
      <alignment wrapText="1"/>
    </xf>
    <xf numFmtId="15" fontId="0" fillId="0" borderId="0" xfId="0" applyNumberForma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144683</xdr:colOff>
      <xdr:row>3</xdr:row>
      <xdr:rowOff>80381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8219515-CB59-459B-BCF5-C04F402B2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3038354" cy="77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756"/>
  <sheetViews>
    <sheetView tabSelected="1" zoomScale="79" workbookViewId="0">
      <selection activeCell="E8" sqref="E8"/>
    </sheetView>
  </sheetViews>
  <sheetFormatPr defaultColWidth="9.140625" defaultRowHeight="18.75"/>
  <cols>
    <col min="1" max="6" width="9.140625" style="1"/>
    <col min="7" max="7" width="16.5703125" style="1" bestFit="1" customWidth="1"/>
    <col min="8" max="8" width="11.28515625" style="1" customWidth="1"/>
    <col min="9" max="9" width="13.5703125" style="1" customWidth="1"/>
    <col min="10" max="10" width="14.28515625" style="1" customWidth="1"/>
    <col min="11" max="11" width="14" style="1" customWidth="1"/>
    <col min="12" max="12" width="12.28515625" style="1" customWidth="1"/>
    <col min="13" max="13" width="10" style="1" bestFit="1" customWidth="1"/>
    <col min="14" max="14" width="18.28515625" style="1" bestFit="1" customWidth="1"/>
    <col min="15" max="15" width="15.42578125" style="1" bestFit="1" customWidth="1"/>
    <col min="16" max="16" width="12" style="1" bestFit="1" customWidth="1"/>
    <col min="17" max="18" width="9.140625" style="1"/>
    <col min="19" max="19" width="11.28515625" style="1" bestFit="1" customWidth="1"/>
    <col min="20" max="16384" width="9.140625" style="1"/>
  </cols>
  <sheetData>
    <row r="2" spans="8:28">
      <c r="U2" s="1" t="s">
        <v>5</v>
      </c>
      <c r="Y2" s="1" t="s">
        <v>11</v>
      </c>
    </row>
    <row r="3" spans="8:28">
      <c r="H3" s="1" t="s">
        <v>0</v>
      </c>
      <c r="O3" s="1" t="s">
        <v>4</v>
      </c>
      <c r="U3" s="1" t="s">
        <v>6</v>
      </c>
      <c r="Y3" s="1" t="s">
        <v>12</v>
      </c>
    </row>
    <row r="4" spans="8:28">
      <c r="H4" s="1" t="s">
        <v>1</v>
      </c>
      <c r="O4" s="1" t="str">
        <f>H4</f>
        <v>Individuals</v>
      </c>
      <c r="U4" s="1" t="s">
        <v>7</v>
      </c>
      <c r="Y4" s="1" t="s">
        <v>13</v>
      </c>
    </row>
    <row r="5" spans="8:28">
      <c r="H5" s="1" t="s">
        <v>3</v>
      </c>
      <c r="O5" s="1" t="str">
        <f t="shared" ref="O5:O6" si="0">H5</f>
        <v>Corporations/Instt/Organisations</v>
      </c>
      <c r="U5" s="1" t="s">
        <v>9</v>
      </c>
    </row>
    <row r="6" spans="8:28">
      <c r="H6" s="1" t="s">
        <v>2</v>
      </c>
      <c r="O6" s="1" t="str">
        <f t="shared" si="0"/>
        <v>Govts</v>
      </c>
      <c r="U6" s="1" t="s">
        <v>10</v>
      </c>
    </row>
    <row r="7" spans="8:28">
      <c r="U7" s="1" t="s">
        <v>8</v>
      </c>
    </row>
    <row r="8" spans="8:28">
      <c r="U8" s="1" t="s">
        <v>14</v>
      </c>
    </row>
    <row r="11" spans="8:28">
      <c r="N11" s="1" t="s">
        <v>15</v>
      </c>
      <c r="R11" s="1" t="s">
        <v>16</v>
      </c>
      <c r="V11" s="1" t="s">
        <v>17</v>
      </c>
    </row>
    <row r="13" spans="8:28">
      <c r="V13" s="1" t="s">
        <v>18</v>
      </c>
      <c r="X13" s="1" t="s">
        <v>19</v>
      </c>
      <c r="Z13" s="1" t="s">
        <v>25</v>
      </c>
      <c r="AB13" s="1" t="s">
        <v>28</v>
      </c>
    </row>
    <row r="15" spans="8:28">
      <c r="V15" s="1" t="s">
        <v>20</v>
      </c>
      <c r="X15" s="1" t="s">
        <v>22</v>
      </c>
      <c r="Z15" s="1" t="s">
        <v>26</v>
      </c>
      <c r="AB15" s="1" t="s">
        <v>29</v>
      </c>
    </row>
    <row r="16" spans="8:28">
      <c r="Q16" s="1" t="s">
        <v>31</v>
      </c>
      <c r="X16" s="1" t="s">
        <v>23</v>
      </c>
      <c r="Z16" s="1" t="s">
        <v>27</v>
      </c>
      <c r="AB16" s="1" t="s">
        <v>30</v>
      </c>
    </row>
    <row r="17" spans="13:24">
      <c r="Q17" s="1" t="s">
        <v>32</v>
      </c>
      <c r="V17" s="1" t="s">
        <v>21</v>
      </c>
      <c r="X17" s="1" t="s">
        <v>24</v>
      </c>
    </row>
    <row r="18" spans="13:24">
      <c r="Q18" s="1" t="s">
        <v>33</v>
      </c>
    </row>
    <row r="19" spans="13:24">
      <c r="Q19" s="1" t="s">
        <v>34</v>
      </c>
    </row>
    <row r="20" spans="13:24">
      <c r="Q20" s="1" t="s">
        <v>35</v>
      </c>
    </row>
    <row r="21" spans="13:24">
      <c r="Q21" s="1" t="s">
        <v>36</v>
      </c>
    </row>
    <row r="22" spans="13:24">
      <c r="Q22" s="1" t="s">
        <v>37</v>
      </c>
    </row>
    <row r="23" spans="13:24">
      <c r="Q23" s="1" t="s">
        <v>28</v>
      </c>
    </row>
    <row r="28" spans="13:24">
      <c r="M28" s="2" t="s">
        <v>38</v>
      </c>
      <c r="N28" s="2"/>
      <c r="S28" s="2" t="s">
        <v>1</v>
      </c>
      <c r="T28" s="2"/>
    </row>
    <row r="29" spans="13:24">
      <c r="M29" s="1" t="s">
        <v>39</v>
      </c>
      <c r="S29" s="1" t="s">
        <v>41</v>
      </c>
    </row>
    <row r="30" spans="13:24">
      <c r="M30" s="1" t="s">
        <v>40</v>
      </c>
      <c r="S30" s="1" t="s">
        <v>42</v>
      </c>
    </row>
    <row r="34" spans="8:19">
      <c r="N34" s="1" t="s">
        <v>6</v>
      </c>
    </row>
    <row r="35" spans="8:19">
      <c r="M35" s="2">
        <v>1</v>
      </c>
      <c r="N35" s="2" t="s">
        <v>43</v>
      </c>
      <c r="O35" s="2"/>
    </row>
    <row r="36" spans="8:19">
      <c r="M36" s="1">
        <v>2</v>
      </c>
      <c r="N36" s="1" t="s">
        <v>44</v>
      </c>
      <c r="S36" s="1" t="s">
        <v>46</v>
      </c>
    </row>
    <row r="37" spans="8:19">
      <c r="M37" s="2">
        <v>3</v>
      </c>
      <c r="N37" s="2" t="s">
        <v>45</v>
      </c>
      <c r="O37" s="2"/>
    </row>
    <row r="39" spans="8:19">
      <c r="H39" s="1">
        <v>1</v>
      </c>
      <c r="I39" s="1" t="s">
        <v>51</v>
      </c>
    </row>
    <row r="40" spans="8:19">
      <c r="H40" s="1">
        <v>2</v>
      </c>
      <c r="I40" s="1" t="s">
        <v>52</v>
      </c>
    </row>
    <row r="41" spans="8:19">
      <c r="H41" s="1">
        <v>3</v>
      </c>
      <c r="I41" s="1" t="s">
        <v>53</v>
      </c>
    </row>
    <row r="42" spans="8:19">
      <c r="H42" s="1">
        <v>4</v>
      </c>
      <c r="I42" s="1" t="s">
        <v>54</v>
      </c>
    </row>
    <row r="43" spans="8:19">
      <c r="H43" s="1">
        <v>5</v>
      </c>
      <c r="I43" s="1" t="s">
        <v>55</v>
      </c>
      <c r="P43" s="1" t="s">
        <v>6</v>
      </c>
    </row>
    <row r="45" spans="8:19">
      <c r="O45" s="1" t="s">
        <v>47</v>
      </c>
      <c r="Q45" s="1" t="s">
        <v>48</v>
      </c>
    </row>
    <row r="46" spans="8:19">
      <c r="O46" s="1" t="s">
        <v>49</v>
      </c>
      <c r="Q46" s="1" t="s">
        <v>50</v>
      </c>
    </row>
    <row r="48" spans="8:19">
      <c r="Q48" s="1" t="s">
        <v>56</v>
      </c>
    </row>
    <row r="49" spans="14:17">
      <c r="Q49" s="1" t="s">
        <v>57</v>
      </c>
    </row>
    <row r="50" spans="14:17">
      <c r="Q50" s="1" t="s">
        <v>58</v>
      </c>
    </row>
    <row r="51" spans="14:17">
      <c r="Q51" s="1" t="s">
        <v>60</v>
      </c>
    </row>
    <row r="54" spans="14:17">
      <c r="Q54" s="1" t="s">
        <v>61</v>
      </c>
    </row>
    <row r="55" spans="14:17">
      <c r="Q55" s="1" t="s">
        <v>59</v>
      </c>
    </row>
    <row r="56" spans="14:17">
      <c r="Q56" s="1" t="s">
        <v>62</v>
      </c>
    </row>
    <row r="58" spans="14:17">
      <c r="P58" s="1" t="s">
        <v>63</v>
      </c>
    </row>
    <row r="61" spans="14:17">
      <c r="N61" s="1" t="s">
        <v>65</v>
      </c>
      <c r="P61" s="1" t="s">
        <v>64</v>
      </c>
    </row>
    <row r="63" spans="14:17">
      <c r="P63" s="1" t="s">
        <v>66</v>
      </c>
    </row>
    <row r="64" spans="14:17">
      <c r="P64" s="1" t="s">
        <v>67</v>
      </c>
    </row>
    <row r="65" spans="10:16">
      <c r="P65" s="1" t="s">
        <v>68</v>
      </c>
    </row>
    <row r="66" spans="10:16">
      <c r="P66" s="1" t="s">
        <v>69</v>
      </c>
    </row>
    <row r="67" spans="10:16">
      <c r="P67" s="1" t="s">
        <v>70</v>
      </c>
    </row>
    <row r="70" spans="10:16">
      <c r="P70" s="1" t="s">
        <v>71</v>
      </c>
    </row>
    <row r="75" spans="10:16">
      <c r="J75" s="1" t="s">
        <v>72</v>
      </c>
    </row>
    <row r="76" spans="10:16">
      <c r="J76" s="1" t="s">
        <v>13</v>
      </c>
    </row>
    <row r="77" spans="10:16">
      <c r="J77" s="1" t="s">
        <v>73</v>
      </c>
    </row>
    <row r="78" spans="10:16">
      <c r="J78" s="1" t="s">
        <v>74</v>
      </c>
    </row>
    <row r="79" spans="10:16">
      <c r="J79" s="1" t="s">
        <v>75</v>
      </c>
    </row>
    <row r="80" spans="10:16">
      <c r="J80" s="1" t="s">
        <v>76</v>
      </c>
    </row>
    <row r="81" spans="6:17">
      <c r="J81" s="1" t="s">
        <v>78</v>
      </c>
      <c r="N81" s="1" t="s">
        <v>79</v>
      </c>
    </row>
    <row r="82" spans="6:17">
      <c r="Q82" s="1" t="s">
        <v>84</v>
      </c>
    </row>
    <row r="83" spans="6:17">
      <c r="F83" s="2"/>
      <c r="G83" s="2"/>
      <c r="H83" s="2"/>
      <c r="Q83" s="1" t="s">
        <v>85</v>
      </c>
    </row>
    <row r="84" spans="6:17">
      <c r="F84" s="2" t="s">
        <v>77</v>
      </c>
      <c r="G84" s="2"/>
      <c r="H84" s="2"/>
      <c r="Q84" s="1" t="s">
        <v>86</v>
      </c>
    </row>
    <row r="85" spans="6:17">
      <c r="F85" s="2" t="s">
        <v>13</v>
      </c>
      <c r="G85" s="2"/>
      <c r="H85" s="2"/>
      <c r="Q85" s="1" t="s">
        <v>87</v>
      </c>
    </row>
    <row r="86" spans="6:17">
      <c r="F86" s="2"/>
      <c r="G86" s="2"/>
      <c r="H86" s="2"/>
      <c r="Q86" s="1" t="s">
        <v>88</v>
      </c>
    </row>
    <row r="87" spans="6:17">
      <c r="F87" s="2"/>
      <c r="G87" s="2"/>
      <c r="H87" s="2"/>
      <c r="K87" s="1" t="s">
        <v>80</v>
      </c>
      <c r="N87" s="1" t="s">
        <v>81</v>
      </c>
      <c r="Q87" s="1" t="s">
        <v>89</v>
      </c>
    </row>
    <row r="88" spans="6:17">
      <c r="Q88" s="2" t="s">
        <v>90</v>
      </c>
    </row>
    <row r="89" spans="6:17">
      <c r="K89" s="1" t="s">
        <v>83</v>
      </c>
      <c r="N89" s="1" t="s">
        <v>82</v>
      </c>
    </row>
    <row r="91" spans="6:17">
      <c r="K91" s="1" t="s">
        <v>96</v>
      </c>
      <c r="N91" s="1" t="s">
        <v>91</v>
      </c>
    </row>
    <row r="92" spans="6:17">
      <c r="K92" s="1" t="s">
        <v>97</v>
      </c>
      <c r="N92" s="1" t="s">
        <v>92</v>
      </c>
    </row>
    <row r="93" spans="6:17">
      <c r="N93" s="1" t="s">
        <v>93</v>
      </c>
    </row>
    <row r="94" spans="6:17">
      <c r="N94" s="1" t="s">
        <v>94</v>
      </c>
    </row>
    <row r="95" spans="6:17">
      <c r="N95" s="1" t="s">
        <v>95</v>
      </c>
    </row>
    <row r="98" spans="1:16">
      <c r="H98" s="16" t="s">
        <v>13</v>
      </c>
      <c r="I98" s="16"/>
      <c r="J98" s="16"/>
      <c r="K98" s="16"/>
      <c r="L98" s="16"/>
      <c r="M98" s="16"/>
      <c r="N98" s="16"/>
      <c r="O98" s="16"/>
      <c r="P98" s="16"/>
    </row>
    <row r="100" spans="1:16">
      <c r="A100" s="1" t="s">
        <v>98</v>
      </c>
      <c r="H100" s="2" t="s">
        <v>100</v>
      </c>
      <c r="I100" s="2"/>
      <c r="K100" s="2" t="s">
        <v>101</v>
      </c>
      <c r="M100" s="2" t="s">
        <v>102</v>
      </c>
      <c r="N100" s="2"/>
      <c r="P100" s="2" t="s">
        <v>11</v>
      </c>
    </row>
    <row r="101" spans="1:16">
      <c r="A101" s="1" t="s">
        <v>99</v>
      </c>
      <c r="H101" s="1" t="s">
        <v>6</v>
      </c>
      <c r="K101" s="1" t="s">
        <v>105</v>
      </c>
      <c r="M101" s="1" t="s">
        <v>107</v>
      </c>
      <c r="P101" s="1" t="s">
        <v>110</v>
      </c>
    </row>
    <row r="102" spans="1:16">
      <c r="H102" s="1" t="s">
        <v>7</v>
      </c>
      <c r="K102" s="1" t="s">
        <v>106</v>
      </c>
      <c r="M102" s="1" t="s">
        <v>108</v>
      </c>
      <c r="P102" s="2" t="s">
        <v>111</v>
      </c>
    </row>
    <row r="103" spans="1:16">
      <c r="H103" s="1" t="s">
        <v>103</v>
      </c>
      <c r="M103" s="1" t="s">
        <v>109</v>
      </c>
      <c r="P103" s="2" t="s">
        <v>112</v>
      </c>
    </row>
    <row r="104" spans="1:16">
      <c r="H104" s="1" t="s">
        <v>104</v>
      </c>
      <c r="P104" s="1" t="s">
        <v>113</v>
      </c>
    </row>
    <row r="105" spans="1:16">
      <c r="H105" s="1" t="s">
        <v>8</v>
      </c>
      <c r="P105" s="1" t="s">
        <v>114</v>
      </c>
    </row>
    <row r="106" spans="1:16">
      <c r="P106" s="1" t="s">
        <v>115</v>
      </c>
    </row>
    <row r="109" spans="1:16">
      <c r="N109" s="1" t="s">
        <v>116</v>
      </c>
    </row>
    <row r="112" spans="1:16">
      <c r="N112" s="1" t="s">
        <v>117</v>
      </c>
      <c r="O112" s="1" t="s">
        <v>118</v>
      </c>
    </row>
    <row r="113" spans="11:18">
      <c r="N113" s="3">
        <v>0.08</v>
      </c>
      <c r="O113" s="3">
        <v>0.08</v>
      </c>
    </row>
    <row r="114" spans="11:18">
      <c r="N114" s="1" t="s">
        <v>119</v>
      </c>
      <c r="O114" s="1" t="s">
        <v>120</v>
      </c>
    </row>
    <row r="118" spans="11:18">
      <c r="N118" s="3">
        <v>0.1</v>
      </c>
    </row>
    <row r="121" spans="11:18">
      <c r="K121" s="1" t="s">
        <v>121</v>
      </c>
    </row>
    <row r="123" spans="11:18">
      <c r="K123" s="1" t="s">
        <v>122</v>
      </c>
      <c r="O123" s="1">
        <v>50</v>
      </c>
      <c r="P123" s="1">
        <v>25</v>
      </c>
      <c r="R123" s="1" t="s">
        <v>126</v>
      </c>
    </row>
    <row r="124" spans="11:18">
      <c r="K124" s="1" t="s">
        <v>123</v>
      </c>
      <c r="R124" s="1">
        <v>1000</v>
      </c>
    </row>
    <row r="125" spans="11:18">
      <c r="K125" s="1" t="s">
        <v>124</v>
      </c>
    </row>
    <row r="126" spans="11:18">
      <c r="K126" s="1" t="s">
        <v>125</v>
      </c>
    </row>
    <row r="130" spans="9:16">
      <c r="M130" s="1" t="s">
        <v>127</v>
      </c>
    </row>
    <row r="132" spans="9:16">
      <c r="M132" s="1" t="s">
        <v>128</v>
      </c>
    </row>
    <row r="134" spans="9:16">
      <c r="M134" s="1">
        <v>50100</v>
      </c>
    </row>
    <row r="138" spans="9:16">
      <c r="J138" s="1" t="s">
        <v>129</v>
      </c>
      <c r="K138" s="1">
        <v>1000000</v>
      </c>
    </row>
    <row r="139" spans="9:16">
      <c r="J139" s="1" t="s">
        <v>130</v>
      </c>
      <c r="K139" s="1">
        <f>K138/10</f>
        <v>100000</v>
      </c>
    </row>
    <row r="140" spans="9:16">
      <c r="J140" s="1" t="s">
        <v>131</v>
      </c>
      <c r="K140" s="1">
        <f>K139/100</f>
        <v>1000</v>
      </c>
      <c r="L140" s="1" t="s">
        <v>132</v>
      </c>
    </row>
    <row r="141" spans="9:16">
      <c r="K141" s="1">
        <v>1050</v>
      </c>
    </row>
    <row r="142" spans="9:16">
      <c r="K142" s="1">
        <f>(K140-K141)*100*10</f>
        <v>-50000</v>
      </c>
    </row>
    <row r="144" spans="9:16">
      <c r="I144" s="1" t="s">
        <v>145</v>
      </c>
      <c r="J144" s="1" t="s">
        <v>140</v>
      </c>
      <c r="K144" s="1" t="s">
        <v>141</v>
      </c>
      <c r="L144" s="1" t="s">
        <v>142</v>
      </c>
      <c r="O144" s="1" t="s">
        <v>136</v>
      </c>
      <c r="P144" s="1" t="s">
        <v>148</v>
      </c>
    </row>
    <row r="145" spans="1:16">
      <c r="I145" s="1">
        <v>1</v>
      </c>
      <c r="J145" s="1">
        <v>300</v>
      </c>
      <c r="K145" s="1" t="s">
        <v>133</v>
      </c>
      <c r="L145" s="1">
        <v>3770</v>
      </c>
      <c r="M145" s="1" t="s">
        <v>130</v>
      </c>
      <c r="O145" s="1">
        <v>3789</v>
      </c>
      <c r="P145" s="1">
        <f>(L145-O145)*J145*I145</f>
        <v>-5700</v>
      </c>
    </row>
    <row r="146" spans="1:16">
      <c r="I146" s="1">
        <v>5</v>
      </c>
      <c r="J146" s="1">
        <v>250</v>
      </c>
      <c r="K146" s="1" t="s">
        <v>134</v>
      </c>
      <c r="L146" s="1">
        <v>2450</v>
      </c>
      <c r="M146" s="1" t="s">
        <v>135</v>
      </c>
      <c r="O146" s="1">
        <v>2545</v>
      </c>
      <c r="P146" s="1">
        <f>(O146-L146)*J146*I146</f>
        <v>118750</v>
      </c>
    </row>
    <row r="147" spans="1:16">
      <c r="I147" s="1">
        <v>3</v>
      </c>
      <c r="J147" s="1" t="s">
        <v>139</v>
      </c>
      <c r="K147" s="1" t="s">
        <v>137</v>
      </c>
      <c r="L147" s="1">
        <v>53400</v>
      </c>
      <c r="M147" s="1" t="s">
        <v>143</v>
      </c>
      <c r="O147" s="1">
        <v>53000</v>
      </c>
      <c r="P147" s="1">
        <f>(L147-O147)*100*I147</f>
        <v>120000</v>
      </c>
    </row>
    <row r="148" spans="1:16">
      <c r="I148" s="1">
        <v>10</v>
      </c>
      <c r="J148" s="1">
        <v>30</v>
      </c>
      <c r="K148" s="1" t="s">
        <v>138</v>
      </c>
      <c r="L148" s="1">
        <v>67000</v>
      </c>
      <c r="M148" s="1" t="s">
        <v>144</v>
      </c>
      <c r="O148" s="1">
        <v>64000</v>
      </c>
      <c r="P148" s="1">
        <f>(O148-L148)*J148*I148</f>
        <v>-900000</v>
      </c>
    </row>
    <row r="149" spans="1:16">
      <c r="P149" s="1">
        <f>SUM(P145:P148)</f>
        <v>-666950</v>
      </c>
    </row>
    <row r="152" spans="1:16">
      <c r="A152" s="1" t="s">
        <v>146</v>
      </c>
    </row>
    <row r="153" spans="1:16">
      <c r="A153" s="1" t="s">
        <v>147</v>
      </c>
      <c r="K153" s="1" t="s">
        <v>149</v>
      </c>
    </row>
    <row r="155" spans="1:16">
      <c r="K155" s="3">
        <v>0.8</v>
      </c>
      <c r="L155" s="3">
        <v>-0.01</v>
      </c>
      <c r="M155" s="3" t="s">
        <v>150</v>
      </c>
    </row>
    <row r="156" spans="1:16">
      <c r="K156" s="3">
        <v>0.9</v>
      </c>
      <c r="L156" s="3">
        <v>-0.02</v>
      </c>
      <c r="M156" s="3" t="s">
        <v>151</v>
      </c>
    </row>
    <row r="157" spans="1:16">
      <c r="K157" s="3">
        <v>0.99</v>
      </c>
      <c r="L157" s="3">
        <v>-0.04</v>
      </c>
      <c r="M157" s="3" t="s">
        <v>152</v>
      </c>
    </row>
    <row r="159" spans="1:16">
      <c r="M159" s="3">
        <v>0.08</v>
      </c>
      <c r="N159" s="1" t="s">
        <v>153</v>
      </c>
    </row>
    <row r="161" spans="1:16">
      <c r="K161" s="1" t="s">
        <v>154</v>
      </c>
    </row>
    <row r="163" spans="1:16">
      <c r="M163" s="1" t="s">
        <v>20</v>
      </c>
      <c r="P163" s="1" t="s">
        <v>155</v>
      </c>
    </row>
    <row r="166" spans="1:16">
      <c r="K166" s="5" t="s">
        <v>156</v>
      </c>
      <c r="L166" s="5" t="s">
        <v>136</v>
      </c>
      <c r="M166" s="5" t="s">
        <v>157</v>
      </c>
      <c r="N166" s="5" t="s">
        <v>158</v>
      </c>
      <c r="O166" s="5" t="s">
        <v>159</v>
      </c>
      <c r="P166" s="5" t="s">
        <v>160</v>
      </c>
    </row>
    <row r="167" spans="1:16">
      <c r="K167" s="1" t="s">
        <v>97</v>
      </c>
      <c r="L167" s="1">
        <v>17666</v>
      </c>
      <c r="M167" s="1">
        <v>50</v>
      </c>
      <c r="N167" s="1">
        <f>L167*M167</f>
        <v>883300</v>
      </c>
      <c r="O167" s="1">
        <v>109000</v>
      </c>
      <c r="P167" s="4">
        <f>O167/N167</f>
        <v>0.12340088305219064</v>
      </c>
    </row>
    <row r="168" spans="1:16">
      <c r="K168" s="1" t="s">
        <v>161</v>
      </c>
      <c r="L168" s="1">
        <v>750</v>
      </c>
      <c r="M168" s="1">
        <v>1250</v>
      </c>
      <c r="N168" s="1">
        <f>L168*M168</f>
        <v>937500</v>
      </c>
      <c r="O168" s="1">
        <v>264000</v>
      </c>
      <c r="P168" s="4">
        <f>O168/N168</f>
        <v>0.28160000000000002</v>
      </c>
    </row>
    <row r="169" spans="1:16">
      <c r="K169" s="1" t="s">
        <v>162</v>
      </c>
      <c r="L169" s="1">
        <v>46159</v>
      </c>
      <c r="M169" s="1">
        <v>100</v>
      </c>
      <c r="N169" s="1">
        <f>L169*M169</f>
        <v>4615900</v>
      </c>
      <c r="O169" s="1">
        <v>426970</v>
      </c>
      <c r="P169" s="4">
        <f>O169/N169</f>
        <v>9.2499837518143807E-2</v>
      </c>
    </row>
    <row r="170" spans="1:16">
      <c r="K170" s="1" t="s">
        <v>163</v>
      </c>
      <c r="L170" s="1">
        <v>74.05</v>
      </c>
      <c r="M170" s="1">
        <v>1000</v>
      </c>
      <c r="N170" s="1">
        <f>L170*M170</f>
        <v>74050</v>
      </c>
      <c r="O170" s="1">
        <v>1806</v>
      </c>
      <c r="P170" s="4">
        <f>O170/N170</f>
        <v>2.4388926401080351E-2</v>
      </c>
    </row>
    <row r="174" spans="1:16">
      <c r="A174" s="1" t="s">
        <v>164</v>
      </c>
    </row>
    <row r="175" spans="1:16">
      <c r="H175" s="1" t="s">
        <v>130</v>
      </c>
      <c r="I175" s="1">
        <v>17666</v>
      </c>
      <c r="J175" s="1">
        <v>50</v>
      </c>
    </row>
    <row r="176" spans="1:16">
      <c r="A176" s="1" t="s">
        <v>165</v>
      </c>
      <c r="G176" s="6">
        <f ca="1">TODAY()</f>
        <v>44508</v>
      </c>
      <c r="H176" s="1">
        <f>(K176-I175)*J175</f>
        <v>1700</v>
      </c>
      <c r="K176" s="1">
        <v>17700</v>
      </c>
    </row>
    <row r="177" spans="7:15">
      <c r="G177" s="6">
        <f ca="1">G176+1</f>
        <v>44509</v>
      </c>
      <c r="H177" s="1">
        <f>(K177-K176)*$J$175</f>
        <v>5000</v>
      </c>
      <c r="K177" s="1">
        <v>17800</v>
      </c>
    </row>
    <row r="178" spans="7:15">
      <c r="G178" s="6">
        <f t="shared" ref="G178:G181" ca="1" si="1">G177+1</f>
        <v>44510</v>
      </c>
      <c r="H178" s="1">
        <f t="shared" ref="H178:H181" si="2">(K178-K177)*$J$175</f>
        <v>-55000</v>
      </c>
      <c r="K178" s="1">
        <v>16700</v>
      </c>
    </row>
    <row r="179" spans="7:15">
      <c r="G179" s="6">
        <f t="shared" ca="1" si="1"/>
        <v>44511</v>
      </c>
      <c r="H179" s="1">
        <f t="shared" si="2"/>
        <v>-25000</v>
      </c>
      <c r="K179" s="1">
        <v>16200</v>
      </c>
    </row>
    <row r="180" spans="7:15">
      <c r="G180" s="6">
        <f t="shared" ca="1" si="1"/>
        <v>44512</v>
      </c>
      <c r="H180" s="1">
        <f t="shared" si="2"/>
        <v>35000</v>
      </c>
      <c r="K180" s="1">
        <v>16900</v>
      </c>
    </row>
    <row r="181" spans="7:15">
      <c r="G181" s="6">
        <f t="shared" ca="1" si="1"/>
        <v>44513</v>
      </c>
      <c r="H181" s="1">
        <f t="shared" si="2"/>
        <v>25000</v>
      </c>
      <c r="K181" s="1">
        <v>17400</v>
      </c>
    </row>
    <row r="182" spans="7:15">
      <c r="H182" s="1">
        <f>SUM(H176:H181)</f>
        <v>-13300</v>
      </c>
    </row>
    <row r="185" spans="7:15">
      <c r="K185" s="1" t="s">
        <v>166</v>
      </c>
    </row>
    <row r="187" spans="7:15">
      <c r="I187" s="7"/>
      <c r="J187" s="7"/>
      <c r="K187" s="7">
        <v>50000</v>
      </c>
      <c r="L187" s="7"/>
      <c r="M187" s="7" t="s">
        <v>167</v>
      </c>
      <c r="N187" s="7"/>
      <c r="O187" s="7"/>
    </row>
    <row r="188" spans="7:15">
      <c r="I188" s="7"/>
      <c r="J188" s="7"/>
      <c r="K188" s="7"/>
      <c r="L188" s="7"/>
      <c r="M188" s="7"/>
      <c r="N188" s="7"/>
      <c r="O188" s="7"/>
    </row>
    <row r="189" spans="7:15">
      <c r="I189" s="7"/>
      <c r="J189" s="7"/>
      <c r="K189" s="7" t="s">
        <v>168</v>
      </c>
      <c r="L189" s="7"/>
      <c r="M189" s="7"/>
      <c r="N189" s="7"/>
      <c r="O189" s="7"/>
    </row>
    <row r="190" spans="7:15">
      <c r="I190" s="7"/>
      <c r="J190" s="7"/>
      <c r="K190" s="7"/>
      <c r="L190" s="7"/>
      <c r="M190" s="7"/>
      <c r="N190" s="7"/>
      <c r="O190" s="7"/>
    </row>
    <row r="191" spans="7:15">
      <c r="I191" s="7"/>
      <c r="J191" s="7"/>
      <c r="K191" s="7" t="s">
        <v>169</v>
      </c>
      <c r="L191" s="7"/>
      <c r="M191" s="7"/>
      <c r="N191" s="7" t="s">
        <v>171</v>
      </c>
      <c r="O191" s="7" t="s">
        <v>172</v>
      </c>
    </row>
    <row r="192" spans="7:15">
      <c r="I192" s="7"/>
      <c r="J192" s="7"/>
      <c r="K192" s="7" t="s">
        <v>170</v>
      </c>
      <c r="L192" s="7"/>
      <c r="M192" s="7"/>
      <c r="N192" s="7" t="s">
        <v>173</v>
      </c>
      <c r="O192" s="7" t="s">
        <v>174</v>
      </c>
    </row>
    <row r="193" spans="1:15">
      <c r="I193" s="7"/>
      <c r="J193" s="7"/>
      <c r="K193" s="7"/>
      <c r="L193" s="7"/>
      <c r="M193" s="7"/>
      <c r="N193" s="7"/>
      <c r="O193" s="7"/>
    </row>
    <row r="194" spans="1:15">
      <c r="I194" s="7"/>
      <c r="J194" s="7"/>
      <c r="K194" s="7"/>
      <c r="L194" s="7"/>
      <c r="M194" s="7"/>
      <c r="N194" s="7"/>
      <c r="O194" s="7"/>
    </row>
    <row r="195" spans="1:15">
      <c r="I195" s="7"/>
      <c r="J195" s="7"/>
      <c r="K195" s="7"/>
      <c r="L195" s="7"/>
      <c r="M195" s="7"/>
      <c r="N195" s="7"/>
      <c r="O195" s="7"/>
    </row>
    <row r="198" spans="1:15">
      <c r="A198" s="1" t="s">
        <v>175</v>
      </c>
    </row>
    <row r="199" spans="1:15">
      <c r="A199" s="1" t="s">
        <v>176</v>
      </c>
    </row>
    <row r="200" spans="1:15">
      <c r="A200" s="1" t="s">
        <v>112</v>
      </c>
    </row>
    <row r="202" spans="1:15">
      <c r="K202" s="1" t="s">
        <v>177</v>
      </c>
      <c r="L202" s="1">
        <v>3200</v>
      </c>
    </row>
    <row r="203" spans="1:15">
      <c r="L203" s="3">
        <v>0.05</v>
      </c>
    </row>
    <row r="205" spans="1:15">
      <c r="L205" s="1">
        <f>L202*(2.718)^(L203*1/12)</f>
        <v>3213.3597615026774</v>
      </c>
    </row>
    <row r="208" spans="1:15">
      <c r="K208" s="1" t="s">
        <v>162</v>
      </c>
      <c r="L208" s="1">
        <v>50000</v>
      </c>
    </row>
    <row r="209" spans="7:12">
      <c r="K209" s="1" t="s">
        <v>178</v>
      </c>
      <c r="L209" s="3">
        <v>0.06</v>
      </c>
    </row>
    <row r="210" spans="7:12">
      <c r="K210" s="1" t="s">
        <v>179</v>
      </c>
      <c r="L210" s="3">
        <v>0.02</v>
      </c>
    </row>
    <row r="211" spans="7:12">
      <c r="K211" s="1" t="s">
        <v>180</v>
      </c>
      <c r="L211" s="3">
        <v>0.03</v>
      </c>
    </row>
    <row r="213" spans="7:12">
      <c r="K213" s="1" t="s">
        <v>181</v>
      </c>
    </row>
    <row r="215" spans="7:12">
      <c r="L215" s="1">
        <f>L208*(2.718)^((L209+L210-L211)*3/12)</f>
        <v>50628.856959287594</v>
      </c>
    </row>
    <row r="217" spans="7:12">
      <c r="L217" s="1">
        <f>L208*(1.05)^(0.25)</f>
        <v>50613.611721451969</v>
      </c>
    </row>
    <row r="220" spans="7:12">
      <c r="G220" s="1" t="s">
        <v>182</v>
      </c>
      <c r="H220" s="1">
        <v>63000</v>
      </c>
    </row>
    <row r="221" spans="7:12">
      <c r="G221" s="1" t="s">
        <v>178</v>
      </c>
      <c r="H221" s="3" t="s">
        <v>183</v>
      </c>
    </row>
    <row r="222" spans="7:12">
      <c r="G222" s="1" t="s">
        <v>179</v>
      </c>
      <c r="H222" s="3" t="s">
        <v>184</v>
      </c>
    </row>
    <row r="223" spans="7:12">
      <c r="G223" s="1" t="s">
        <v>180</v>
      </c>
      <c r="H223" s="3" t="s">
        <v>185</v>
      </c>
    </row>
    <row r="225" spans="7:15">
      <c r="G225" s="1" t="s">
        <v>186</v>
      </c>
    </row>
    <row r="228" spans="7:15">
      <c r="K228" s="1" t="s">
        <v>169</v>
      </c>
    </row>
    <row r="232" spans="7:15">
      <c r="H232" s="1" t="s">
        <v>187</v>
      </c>
      <c r="I232" s="1">
        <v>100</v>
      </c>
      <c r="K232" s="1" t="s">
        <v>190</v>
      </c>
      <c r="L232" s="1">
        <v>101</v>
      </c>
    </row>
    <row r="233" spans="7:15">
      <c r="H233" s="1" t="s">
        <v>188</v>
      </c>
      <c r="I233" s="1">
        <v>101</v>
      </c>
    </row>
    <row r="234" spans="7:15">
      <c r="H234" s="1" t="s">
        <v>189</v>
      </c>
      <c r="I234" s="1">
        <v>105</v>
      </c>
      <c r="K234" s="1" t="s">
        <v>191</v>
      </c>
      <c r="L234" s="1">
        <v>105</v>
      </c>
    </row>
    <row r="238" spans="7:15">
      <c r="I238" s="3">
        <v>0.06</v>
      </c>
    </row>
    <row r="239" spans="7:15">
      <c r="N239" s="1">
        <v>90</v>
      </c>
    </row>
    <row r="240" spans="7:15">
      <c r="M240" s="1">
        <f>N239-I232</f>
        <v>-10</v>
      </c>
      <c r="N240" s="1">
        <f>L234-N239</f>
        <v>15</v>
      </c>
      <c r="O240" s="1">
        <f>SUM(M240:N240)</f>
        <v>5</v>
      </c>
    </row>
    <row r="241" spans="7:16">
      <c r="O241" s="1">
        <v>-1</v>
      </c>
    </row>
    <row r="242" spans="7:16">
      <c r="O242" s="1">
        <f>O240+O241</f>
        <v>4</v>
      </c>
    </row>
    <row r="247" spans="7:16">
      <c r="G247" s="16" t="s">
        <v>112</v>
      </c>
      <c r="H247" s="16"/>
      <c r="I247" s="16"/>
      <c r="J247" s="16"/>
      <c r="K247" s="16"/>
      <c r="L247" s="16"/>
      <c r="M247" s="16"/>
      <c r="N247" s="16"/>
      <c r="O247" s="16"/>
    </row>
    <row r="251" spans="7:16">
      <c r="I251" s="1" t="s">
        <v>194</v>
      </c>
      <c r="L251" s="1" t="s">
        <v>195</v>
      </c>
      <c r="P251" s="1" t="s">
        <v>193</v>
      </c>
    </row>
    <row r="252" spans="7:16">
      <c r="I252" s="1" t="s">
        <v>192</v>
      </c>
      <c r="L252" s="1" t="s">
        <v>193</v>
      </c>
    </row>
    <row r="257" spans="8:14">
      <c r="I257" s="1" t="s">
        <v>196</v>
      </c>
    </row>
    <row r="259" spans="8:14">
      <c r="I259" s="1">
        <v>1000</v>
      </c>
      <c r="L259" s="1">
        <v>120000</v>
      </c>
    </row>
    <row r="266" spans="8:14">
      <c r="H266" s="1" t="s">
        <v>197</v>
      </c>
      <c r="J266" s="1" t="s">
        <v>198</v>
      </c>
      <c r="N266" s="1" t="s">
        <v>201</v>
      </c>
    </row>
    <row r="267" spans="8:14">
      <c r="H267" s="1" t="s">
        <v>199</v>
      </c>
      <c r="J267" s="1" t="s">
        <v>200</v>
      </c>
      <c r="N267" s="1" t="s">
        <v>202</v>
      </c>
    </row>
    <row r="271" spans="8:14">
      <c r="K271" s="1" t="s">
        <v>146</v>
      </c>
    </row>
    <row r="274" spans="1:14">
      <c r="A274" s="2"/>
      <c r="B274" s="2"/>
      <c r="M274" s="1">
        <v>100</v>
      </c>
    </row>
    <row r="275" spans="1:14">
      <c r="A275" s="2" t="s">
        <v>203</v>
      </c>
      <c r="B275" s="2"/>
      <c r="G275" s="1" t="s">
        <v>203</v>
      </c>
      <c r="I275" s="1">
        <v>0.8</v>
      </c>
      <c r="J275" s="1" t="s">
        <v>117</v>
      </c>
      <c r="K275" s="1">
        <v>17000</v>
      </c>
      <c r="L275" s="1">
        <v>600</v>
      </c>
      <c r="M275" s="1">
        <v>80</v>
      </c>
      <c r="N275" s="4">
        <f>M275/L275</f>
        <v>0.13333333333333333</v>
      </c>
    </row>
    <row r="276" spans="1:14">
      <c r="A276" s="2" t="s">
        <v>204</v>
      </c>
      <c r="B276" s="2"/>
      <c r="J276" s="1" t="s">
        <v>118</v>
      </c>
      <c r="K276" s="1">
        <v>17500</v>
      </c>
      <c r="L276" s="1">
        <v>200</v>
      </c>
      <c r="M276" s="1">
        <v>50</v>
      </c>
      <c r="N276" s="4">
        <f t="shared" ref="N276:N277" si="3">M276/L276</f>
        <v>0.25</v>
      </c>
    </row>
    <row r="277" spans="1:14">
      <c r="A277" s="2"/>
      <c r="B277" s="2"/>
      <c r="J277" s="1" t="s">
        <v>205</v>
      </c>
      <c r="K277" s="1">
        <v>18000</v>
      </c>
      <c r="L277" s="1">
        <v>30</v>
      </c>
      <c r="M277" s="1">
        <v>10</v>
      </c>
      <c r="N277" s="4">
        <f t="shared" si="3"/>
        <v>0.33333333333333331</v>
      </c>
    </row>
    <row r="278" spans="1:14">
      <c r="A278" s="2"/>
      <c r="B278" s="2"/>
    </row>
    <row r="283" spans="1:14">
      <c r="J283" s="1">
        <v>17500</v>
      </c>
      <c r="N283" s="1" t="s">
        <v>209</v>
      </c>
    </row>
    <row r="284" spans="1:14">
      <c r="J284" s="1" t="s">
        <v>206</v>
      </c>
      <c r="K284" s="1" t="s">
        <v>207</v>
      </c>
      <c r="N284" s="1" t="s">
        <v>208</v>
      </c>
    </row>
    <row r="285" spans="1:14">
      <c r="K285" s="1" t="s">
        <v>210</v>
      </c>
      <c r="N285" s="1">
        <v>0.5</v>
      </c>
    </row>
    <row r="289" spans="2:16">
      <c r="K289" s="1" t="s">
        <v>211</v>
      </c>
      <c r="L289" s="1" t="s">
        <v>212</v>
      </c>
    </row>
    <row r="290" spans="2:16">
      <c r="K290" s="1" t="s">
        <v>213</v>
      </c>
      <c r="L290" s="1" t="s">
        <v>214</v>
      </c>
    </row>
    <row r="291" spans="2:16">
      <c r="K291" s="1" t="s">
        <v>197</v>
      </c>
      <c r="L291" s="1" t="s">
        <v>214</v>
      </c>
    </row>
    <row r="292" spans="2:16">
      <c r="K292" s="1" t="s">
        <v>199</v>
      </c>
      <c r="L292" s="1" t="s">
        <v>212</v>
      </c>
    </row>
    <row r="295" spans="2:16">
      <c r="G295" s="16" t="s">
        <v>215</v>
      </c>
      <c r="H295" s="16"/>
      <c r="I295" s="16"/>
      <c r="J295" s="16"/>
      <c r="K295" s="16"/>
      <c r="L295" s="16"/>
      <c r="M295" s="16"/>
      <c r="N295" s="16"/>
      <c r="O295" s="16"/>
      <c r="P295" s="16"/>
    </row>
    <row r="298" spans="2:16">
      <c r="B298" s="1" t="s">
        <v>221</v>
      </c>
      <c r="G298" s="1" t="s">
        <v>216</v>
      </c>
    </row>
    <row r="299" spans="2:16">
      <c r="B299" s="1" t="s">
        <v>218</v>
      </c>
      <c r="G299" s="2" t="s">
        <v>217</v>
      </c>
    </row>
    <row r="300" spans="2:16">
      <c r="G300" s="1" t="s">
        <v>222</v>
      </c>
    </row>
    <row r="301" spans="2:16">
      <c r="G301" s="2" t="s">
        <v>219</v>
      </c>
    </row>
    <row r="302" spans="2:16">
      <c r="G302" s="1" t="s">
        <v>220</v>
      </c>
    </row>
    <row r="305" spans="1:14">
      <c r="A305" s="1" t="s">
        <v>223</v>
      </c>
      <c r="G305" s="1" t="s">
        <v>224</v>
      </c>
    </row>
    <row r="307" spans="1:14">
      <c r="G307" s="1" t="s">
        <v>225</v>
      </c>
      <c r="K307" s="1" t="s">
        <v>226</v>
      </c>
    </row>
    <row r="308" spans="1:14">
      <c r="G308" s="1" t="s">
        <v>228</v>
      </c>
    </row>
    <row r="309" spans="1:14">
      <c r="G309" s="1" t="s">
        <v>229</v>
      </c>
    </row>
    <row r="310" spans="1:14">
      <c r="G310" s="1" t="s">
        <v>230</v>
      </c>
    </row>
    <row r="311" spans="1:14">
      <c r="G311" s="1" t="s">
        <v>231</v>
      </c>
    </row>
    <row r="312" spans="1:14">
      <c r="G312" s="1" t="s">
        <v>232</v>
      </c>
    </row>
    <row r="313" spans="1:14">
      <c r="G313" s="1" t="s">
        <v>233</v>
      </c>
    </row>
    <row r="314" spans="1:14">
      <c r="G314" s="1" t="s">
        <v>234</v>
      </c>
      <c r="N314" s="1" t="s">
        <v>238</v>
      </c>
    </row>
    <row r="315" spans="1:14">
      <c r="G315" s="1" t="s">
        <v>235</v>
      </c>
      <c r="N315" s="1" t="s">
        <v>239</v>
      </c>
    </row>
    <row r="316" spans="1:14">
      <c r="G316" s="1" t="s">
        <v>236</v>
      </c>
      <c r="N316" s="1" t="s">
        <v>240</v>
      </c>
    </row>
    <row r="317" spans="1:14">
      <c r="G317" s="1" t="s">
        <v>237</v>
      </c>
      <c r="K317" s="1" t="s">
        <v>227</v>
      </c>
    </row>
    <row r="322" spans="1:11">
      <c r="G322" s="1" t="s">
        <v>241</v>
      </c>
    </row>
    <row r="323" spans="1:11">
      <c r="G323" s="1" t="s">
        <v>242</v>
      </c>
    </row>
    <row r="324" spans="1:11">
      <c r="G324" s="1" t="s">
        <v>243</v>
      </c>
    </row>
    <row r="325" spans="1:11">
      <c r="G325" s="1" t="s">
        <v>247</v>
      </c>
      <c r="H325" s="1" t="s">
        <v>248</v>
      </c>
    </row>
    <row r="326" spans="1:11">
      <c r="G326" s="1" t="s">
        <v>249</v>
      </c>
      <c r="I326" s="1" t="s">
        <v>252</v>
      </c>
      <c r="K326" s="1" t="s">
        <v>244</v>
      </c>
    </row>
    <row r="328" spans="1:11">
      <c r="J328" s="1" t="s">
        <v>245</v>
      </c>
      <c r="K328" s="1" t="s">
        <v>246</v>
      </c>
    </row>
    <row r="333" spans="1:11">
      <c r="A333" s="2" t="s">
        <v>250</v>
      </c>
      <c r="B333" s="2"/>
      <c r="C333" s="2"/>
      <c r="G333" s="1" t="s">
        <v>251</v>
      </c>
    </row>
    <row r="337" spans="7:15">
      <c r="G337" s="1" t="s">
        <v>225</v>
      </c>
      <c r="O337" s="1" t="s">
        <v>266</v>
      </c>
    </row>
    <row r="338" spans="7:15">
      <c r="G338" s="1" t="s">
        <v>228</v>
      </c>
      <c r="K338" s="1" t="s">
        <v>253</v>
      </c>
      <c r="N338" s="1" t="s">
        <v>259</v>
      </c>
      <c r="O338" s="1" t="s">
        <v>265</v>
      </c>
    </row>
    <row r="339" spans="7:15">
      <c r="G339" s="1" t="s">
        <v>229</v>
      </c>
      <c r="K339" s="1" t="s">
        <v>255</v>
      </c>
    </row>
    <row r="340" spans="7:15">
      <c r="G340" s="1" t="s">
        <v>230</v>
      </c>
      <c r="K340" s="1" t="s">
        <v>254</v>
      </c>
    </row>
    <row r="341" spans="7:15">
      <c r="G341" s="1" t="s">
        <v>231</v>
      </c>
    </row>
    <row r="342" spans="7:15">
      <c r="G342" s="1" t="s">
        <v>232</v>
      </c>
      <c r="K342" s="1" t="s">
        <v>256</v>
      </c>
      <c r="N342" s="1" t="s">
        <v>260</v>
      </c>
      <c r="O342" s="1" t="s">
        <v>263</v>
      </c>
    </row>
    <row r="343" spans="7:15">
      <c r="G343" s="1" t="s">
        <v>233</v>
      </c>
      <c r="K343" s="1" t="s">
        <v>257</v>
      </c>
      <c r="N343" s="1" t="s">
        <v>261</v>
      </c>
      <c r="O343" s="1" t="s">
        <v>264</v>
      </c>
    </row>
    <row r="344" spans="7:15">
      <c r="G344" s="1" t="s">
        <v>234</v>
      </c>
      <c r="K344" s="1" t="s">
        <v>258</v>
      </c>
      <c r="N344" s="1" t="s">
        <v>262</v>
      </c>
    </row>
    <row r="345" spans="7:15">
      <c r="G345" s="1" t="s">
        <v>235</v>
      </c>
    </row>
    <row r="346" spans="7:15">
      <c r="G346" s="1" t="s">
        <v>236</v>
      </c>
    </row>
    <row r="347" spans="7:15">
      <c r="G347" s="1" t="s">
        <v>237</v>
      </c>
      <c r="K347" s="1" t="s">
        <v>117</v>
      </c>
      <c r="L347" s="1" t="s">
        <v>118</v>
      </c>
    </row>
    <row r="348" spans="7:15">
      <c r="K348" s="1">
        <v>20</v>
      </c>
      <c r="L348" s="1">
        <v>50</v>
      </c>
    </row>
    <row r="349" spans="7:15">
      <c r="K349" s="1">
        <v>100</v>
      </c>
      <c r="L349" s="1">
        <v>10000</v>
      </c>
    </row>
    <row r="350" spans="7:15">
      <c r="K350" s="1">
        <v>100</v>
      </c>
      <c r="L350" s="1">
        <v>100</v>
      </c>
    </row>
    <row r="351" spans="7:15">
      <c r="J351" s="1" t="s">
        <v>269</v>
      </c>
      <c r="K351" s="1">
        <f>K349/K348</f>
        <v>5</v>
      </c>
      <c r="L351" s="1">
        <f>L349/L348</f>
        <v>200</v>
      </c>
    </row>
    <row r="352" spans="7:15">
      <c r="K352" s="1" t="s">
        <v>267</v>
      </c>
      <c r="L352" s="1" t="s">
        <v>268</v>
      </c>
    </row>
    <row r="357" spans="1:13">
      <c r="J357" s="1">
        <v>10</v>
      </c>
      <c r="K357" s="1">
        <v>5</v>
      </c>
    </row>
    <row r="358" spans="1:13">
      <c r="J358" s="1">
        <v>2000</v>
      </c>
      <c r="K358" s="1">
        <v>1000</v>
      </c>
    </row>
    <row r="359" spans="1:13">
      <c r="J359" s="1">
        <v>100</v>
      </c>
      <c r="K359" s="1">
        <v>200</v>
      </c>
    </row>
    <row r="363" spans="1:13">
      <c r="J363" s="1" t="s">
        <v>270</v>
      </c>
      <c r="L363" s="1">
        <v>1</v>
      </c>
      <c r="M363" s="1">
        <v>2</v>
      </c>
    </row>
    <row r="365" spans="1:13">
      <c r="G365" s="8" t="s">
        <v>224</v>
      </c>
    </row>
    <row r="366" spans="1:13">
      <c r="A366" s="1" t="s">
        <v>217</v>
      </c>
      <c r="G366" s="1" t="s">
        <v>225</v>
      </c>
    </row>
    <row r="367" spans="1:13">
      <c r="G367" s="1" t="s">
        <v>228</v>
      </c>
    </row>
    <row r="368" spans="1:13">
      <c r="G368" s="1" t="s">
        <v>229</v>
      </c>
    </row>
    <row r="369" spans="7:19">
      <c r="G369" s="1" t="s">
        <v>230</v>
      </c>
    </row>
    <row r="370" spans="7:19">
      <c r="G370" s="1" t="s">
        <v>231</v>
      </c>
      <c r="K370" s="1" t="s">
        <v>117</v>
      </c>
      <c r="L370" s="1" t="s">
        <v>118</v>
      </c>
    </row>
    <row r="371" spans="7:19">
      <c r="G371" s="1" t="s">
        <v>232</v>
      </c>
      <c r="K371" s="1">
        <v>100</v>
      </c>
      <c r="L371" s="1">
        <v>200</v>
      </c>
    </row>
    <row r="372" spans="7:19">
      <c r="G372" s="1" t="s">
        <v>233</v>
      </c>
      <c r="K372" s="1" t="s">
        <v>272</v>
      </c>
      <c r="L372" s="1" t="s">
        <v>271</v>
      </c>
    </row>
    <row r="373" spans="7:19">
      <c r="G373" s="1" t="s">
        <v>234</v>
      </c>
    </row>
    <row r="374" spans="7:19">
      <c r="G374" s="1" t="s">
        <v>235</v>
      </c>
      <c r="L374" s="9">
        <v>-0.02</v>
      </c>
      <c r="M374" s="3">
        <v>-0.04</v>
      </c>
      <c r="O374" s="1" t="s">
        <v>273</v>
      </c>
    </row>
    <row r="375" spans="7:19">
      <c r="G375" s="1" t="s">
        <v>236</v>
      </c>
      <c r="K375" s="1" t="s">
        <v>274</v>
      </c>
      <c r="L375" s="9">
        <v>0.02</v>
      </c>
      <c r="M375" s="3">
        <v>0.01</v>
      </c>
    </row>
    <row r="376" spans="7:19">
      <c r="G376" s="1" t="s">
        <v>237</v>
      </c>
      <c r="L376" s="9">
        <v>7.0000000000000007E-2</v>
      </c>
    </row>
    <row r="377" spans="7:19">
      <c r="L377" s="3">
        <v>0.12</v>
      </c>
    </row>
    <row r="378" spans="7:19">
      <c r="P378" s="1">
        <v>60</v>
      </c>
      <c r="Q378" s="1">
        <v>10</v>
      </c>
      <c r="R378" s="1">
        <v>10</v>
      </c>
      <c r="S378" s="1">
        <f>PRODUCT(P378:R378)</f>
        <v>6000</v>
      </c>
    </row>
    <row r="383" spans="7:19">
      <c r="R383" s="1" t="s">
        <v>275</v>
      </c>
    </row>
    <row r="384" spans="7:19">
      <c r="H384" s="10">
        <v>6640</v>
      </c>
      <c r="I384" s="10">
        <v>7351</v>
      </c>
      <c r="J384" s="10">
        <v>7738</v>
      </c>
      <c r="K384" s="10">
        <v>7993</v>
      </c>
      <c r="L384" s="10">
        <v>6637</v>
      </c>
      <c r="M384" s="10">
        <v>6780</v>
      </c>
      <c r="N384" s="10">
        <v>6815</v>
      </c>
      <c r="O384" s="10">
        <v>7252</v>
      </c>
      <c r="P384" s="10">
        <v>9637</v>
      </c>
      <c r="Q384" s="10">
        <v>11602</v>
      </c>
      <c r="R384" s="4">
        <f>(Q384/H384)^(1/9)-1</f>
        <v>6.397009200461734E-2</v>
      </c>
      <c r="S384" s="1" t="e">
        <f ca="1">_xlfn.FORMULATEXT(R384)</f>
        <v>#NAME?</v>
      </c>
    </row>
    <row r="385" spans="4:19">
      <c r="R385" s="4">
        <f>RATE(9, 0, -H384, Q384)</f>
        <v>6.3970092005414855E-2</v>
      </c>
      <c r="S385" s="1" t="e">
        <f t="shared" ref="S385" ca="1" si="4">_xlfn.FORMULATEXT(R385)</f>
        <v>#NAME?</v>
      </c>
    </row>
    <row r="386" spans="4:19">
      <c r="R386" s="4">
        <f>_xlfn.RRI(9, H384, Q384)</f>
        <v>6.397009200461734E-2</v>
      </c>
    </row>
    <row r="387" spans="4:19">
      <c r="S387" s="1" t="e">
        <f ca="1">_xlfn.FORMULATEXT(R386)</f>
        <v>#NAME?</v>
      </c>
    </row>
    <row r="388" spans="4:19">
      <c r="D388" s="1" t="s">
        <v>276</v>
      </c>
      <c r="G388" s="1">
        <v>2</v>
      </c>
    </row>
    <row r="389" spans="4:19">
      <c r="D389" s="1" t="s">
        <v>277</v>
      </c>
      <c r="G389" s="1">
        <v>4</v>
      </c>
    </row>
    <row r="391" spans="4:19">
      <c r="H391" s="1">
        <v>9</v>
      </c>
      <c r="I391" s="1">
        <v>8</v>
      </c>
      <c r="J391" s="1">
        <v>7</v>
      </c>
      <c r="K391" s="1">
        <v>6</v>
      </c>
      <c r="L391" s="1">
        <v>5</v>
      </c>
      <c r="M391" s="1">
        <v>4</v>
      </c>
      <c r="N391" s="1">
        <v>3</v>
      </c>
      <c r="O391" s="1">
        <v>2</v>
      </c>
      <c r="P391" s="1">
        <v>1</v>
      </c>
    </row>
    <row r="392" spans="4:19">
      <c r="H392" s="10">
        <v>6640</v>
      </c>
      <c r="I392" s="10">
        <v>7351</v>
      </c>
      <c r="J392" s="10">
        <v>7738</v>
      </c>
      <c r="K392" s="10">
        <v>7993</v>
      </c>
      <c r="L392" s="10">
        <v>6637</v>
      </c>
      <c r="M392" s="10">
        <v>6780</v>
      </c>
      <c r="N392" s="10">
        <v>6815</v>
      </c>
      <c r="O392" s="10">
        <v>7252</v>
      </c>
      <c r="P392" s="10">
        <v>9637</v>
      </c>
      <c r="Q392" s="10">
        <v>11602</v>
      </c>
    </row>
    <row r="394" spans="4:19">
      <c r="H394" s="4">
        <f>($Q$392/H392)^(1/H391)-1</f>
        <v>6.397009200461734E-2</v>
      </c>
      <c r="I394" s="4">
        <f t="shared" ref="I394:P394" si="5">($Q$392/I392)^(1/I391)-1</f>
        <v>5.8700954910027914E-2</v>
      </c>
      <c r="J394" s="4">
        <f t="shared" si="5"/>
        <v>5.9568801574973351E-2</v>
      </c>
      <c r="K394" s="4">
        <f t="shared" si="5"/>
        <v>6.4070757090572528E-2</v>
      </c>
      <c r="L394" s="4">
        <f t="shared" si="5"/>
        <v>0.1181812579684125</v>
      </c>
      <c r="M394" s="4">
        <f t="shared" si="5"/>
        <v>0.14373600191846991</v>
      </c>
      <c r="N394" s="4">
        <f t="shared" si="5"/>
        <v>0.19404950704602153</v>
      </c>
      <c r="O394" s="4">
        <f t="shared" si="5"/>
        <v>0.26484565398548021</v>
      </c>
      <c r="P394" s="4">
        <f t="shared" si="5"/>
        <v>0.20390162913769849</v>
      </c>
    </row>
    <row r="398" spans="4:19">
      <c r="H398" s="1" t="s">
        <v>278</v>
      </c>
    </row>
    <row r="400" spans="4:19">
      <c r="H400" s="1" t="s">
        <v>279</v>
      </c>
      <c r="K400" s="1" t="s">
        <v>280</v>
      </c>
    </row>
    <row r="401" spans="7:18">
      <c r="K401" s="1" t="s">
        <v>281</v>
      </c>
    </row>
    <row r="402" spans="7:18">
      <c r="K402" s="1" t="s">
        <v>282</v>
      </c>
    </row>
    <row r="404" spans="7:18">
      <c r="L404" s="1" t="s">
        <v>283</v>
      </c>
      <c r="N404" s="1" t="s">
        <v>284</v>
      </c>
    </row>
    <row r="405" spans="7:18">
      <c r="N405" s="1" t="s">
        <v>285</v>
      </c>
    </row>
    <row r="406" spans="7:18">
      <c r="L406" s="3">
        <v>0.15</v>
      </c>
    </row>
    <row r="410" spans="7:18">
      <c r="H410" s="11">
        <v>0.09</v>
      </c>
      <c r="I410" s="11">
        <v>0.1</v>
      </c>
      <c r="J410" s="11">
        <v>0.1</v>
      </c>
      <c r="K410" s="11">
        <v>0.1</v>
      </c>
      <c r="L410" s="11">
        <v>0.06</v>
      </c>
      <c r="M410" s="11">
        <v>0.12</v>
      </c>
      <c r="N410" s="11">
        <v>0.12</v>
      </c>
      <c r="O410" s="11">
        <v>0.11</v>
      </c>
      <c r="P410" s="11">
        <v>0.13</v>
      </c>
      <c r="Q410" s="11">
        <v>0.13</v>
      </c>
      <c r="R410" s="3">
        <f>AVERAGE(H410:Q410)</f>
        <v>0.10600000000000001</v>
      </c>
    </row>
    <row r="413" spans="7:18">
      <c r="G413" s="8" t="s">
        <v>224</v>
      </c>
      <c r="L413" s="1" t="s">
        <v>117</v>
      </c>
      <c r="M413" s="1" t="s">
        <v>118</v>
      </c>
    </row>
    <row r="414" spans="7:18">
      <c r="G414" s="1" t="s">
        <v>225</v>
      </c>
      <c r="L414" s="1">
        <v>30000</v>
      </c>
      <c r="M414" s="1">
        <v>100000</v>
      </c>
    </row>
    <row r="415" spans="7:18">
      <c r="G415" s="1" t="s">
        <v>228</v>
      </c>
      <c r="L415" s="3">
        <v>0.08</v>
      </c>
      <c r="M415" s="3">
        <v>0.08</v>
      </c>
    </row>
    <row r="416" spans="7:18">
      <c r="G416" s="1" t="s">
        <v>229</v>
      </c>
      <c r="L416" s="1" t="s">
        <v>286</v>
      </c>
    </row>
    <row r="417" spans="7:13">
      <c r="G417" s="1" t="s">
        <v>230</v>
      </c>
    </row>
    <row r="418" spans="7:13">
      <c r="G418" s="1" t="s">
        <v>231</v>
      </c>
      <c r="L418" s="1" t="s">
        <v>287</v>
      </c>
      <c r="M418" s="1" t="s">
        <v>288</v>
      </c>
    </row>
    <row r="419" spans="7:13">
      <c r="G419" s="1" t="s">
        <v>232</v>
      </c>
    </row>
    <row r="420" spans="7:13">
      <c r="G420" s="1" t="s">
        <v>233</v>
      </c>
    </row>
    <row r="421" spans="7:13">
      <c r="G421" s="1" t="s">
        <v>234</v>
      </c>
      <c r="L421" s="1" t="s">
        <v>288</v>
      </c>
    </row>
    <row r="422" spans="7:13">
      <c r="G422" s="1" t="s">
        <v>235</v>
      </c>
      <c r="M422" s="12">
        <v>-0.5</v>
      </c>
    </row>
    <row r="423" spans="7:13">
      <c r="G423" s="1" t="s">
        <v>236</v>
      </c>
      <c r="M423" s="12">
        <v>0.5</v>
      </c>
    </row>
    <row r="424" spans="7:13">
      <c r="G424" s="1" t="s">
        <v>237</v>
      </c>
      <c r="M424" s="12">
        <v>1</v>
      </c>
    </row>
    <row r="425" spans="7:13">
      <c r="M425" s="1">
        <v>2</v>
      </c>
    </row>
    <row r="428" spans="7:13">
      <c r="L428" s="1" t="s">
        <v>288</v>
      </c>
      <c r="M428" s="1">
        <v>3</v>
      </c>
    </row>
    <row r="429" spans="7:13">
      <c r="L429" s="1" t="s">
        <v>286</v>
      </c>
      <c r="M429" s="1">
        <v>100</v>
      </c>
    </row>
    <row r="430" spans="7:13">
      <c r="L430" s="1" t="s">
        <v>289</v>
      </c>
      <c r="M430" s="1">
        <f>M429/M428</f>
        <v>33.333333333333336</v>
      </c>
    </row>
    <row r="431" spans="7:13">
      <c r="L431" s="1" t="s">
        <v>290</v>
      </c>
      <c r="M431" s="1">
        <f>30%*(M429-M430)</f>
        <v>19.999999999999996</v>
      </c>
    </row>
    <row r="432" spans="7:13">
      <c r="L432" s="1" t="s">
        <v>285</v>
      </c>
      <c r="M432" s="1">
        <f>M429-M430-M431</f>
        <v>46.666666666666657</v>
      </c>
    </row>
    <row r="436" spans="7:16">
      <c r="K436" s="1" t="s">
        <v>291</v>
      </c>
    </row>
    <row r="438" spans="7:16">
      <c r="K438" s="1" t="s">
        <v>292</v>
      </c>
    </row>
    <row r="441" spans="7:16">
      <c r="G441" s="16" t="s">
        <v>293</v>
      </c>
      <c r="H441" s="16"/>
      <c r="I441" s="16"/>
      <c r="J441" s="16"/>
      <c r="K441" s="16"/>
      <c r="L441" s="16"/>
      <c r="M441" s="16"/>
      <c r="N441" s="16"/>
      <c r="O441" s="16"/>
      <c r="P441" s="16"/>
    </row>
    <row r="445" spans="7:16">
      <c r="G445" s="1" t="s">
        <v>294</v>
      </c>
      <c r="I445" s="1" t="s">
        <v>295</v>
      </c>
      <c r="K445" s="1" t="s">
        <v>119</v>
      </c>
      <c r="M445" s="1" t="s">
        <v>297</v>
      </c>
    </row>
    <row r="446" spans="7:16">
      <c r="G446" s="1" t="s">
        <v>290</v>
      </c>
      <c r="I446" s="1" t="s">
        <v>296</v>
      </c>
      <c r="K446" s="1" t="s">
        <v>120</v>
      </c>
      <c r="M446" s="1" t="s">
        <v>298</v>
      </c>
    </row>
    <row r="450" spans="7:10">
      <c r="G450" s="1" t="s">
        <v>299</v>
      </c>
    </row>
    <row r="451" spans="7:10">
      <c r="H451" s="1" t="s">
        <v>303</v>
      </c>
      <c r="I451" s="1">
        <v>100</v>
      </c>
    </row>
    <row r="452" spans="7:10">
      <c r="H452" s="1" t="s">
        <v>304</v>
      </c>
      <c r="I452" s="1">
        <v>200</v>
      </c>
    </row>
    <row r="453" spans="7:10">
      <c r="H453" s="1" t="s">
        <v>306</v>
      </c>
      <c r="I453" s="1">
        <v>10</v>
      </c>
    </row>
    <row r="454" spans="7:10">
      <c r="H454" s="1" t="s">
        <v>305</v>
      </c>
      <c r="I454" s="1">
        <v>5</v>
      </c>
    </row>
    <row r="455" spans="7:10">
      <c r="H455" s="1" t="s">
        <v>307</v>
      </c>
      <c r="I455" s="1" t="s">
        <v>300</v>
      </c>
    </row>
    <row r="457" spans="7:10">
      <c r="I457" s="1" t="s">
        <v>301</v>
      </c>
    </row>
    <row r="458" spans="7:10">
      <c r="I458" s="1" t="s">
        <v>302</v>
      </c>
    </row>
    <row r="464" spans="7:10">
      <c r="J464" s="13">
        <f>PV(7%, 5, 10, 100, 0)</f>
        <v>-112.30059230784278</v>
      </c>
    </row>
    <row r="466" spans="10:15">
      <c r="J466" s="13">
        <f>PV(7%, 5, 10, 100)</f>
        <v>-112.30059230784278</v>
      </c>
    </row>
    <row r="468" spans="10:15">
      <c r="J468" s="13">
        <f>FV(15%, 10, -300, 0, 0)</f>
        <v>6091.1154714158138</v>
      </c>
    </row>
    <row r="469" spans="10:15">
      <c r="J469" s="1" t="e">
        <f ca="1">_xlfn.FORMULATEXT(J468)</f>
        <v>#NAME?</v>
      </c>
    </row>
    <row r="471" spans="10:15">
      <c r="O471" s="4">
        <f>4%/12</f>
        <v>3.3333333333333335E-3</v>
      </c>
    </row>
    <row r="472" spans="10:15">
      <c r="O472" s="1">
        <f>6*12</f>
        <v>72</v>
      </c>
    </row>
    <row r="473" spans="10:15">
      <c r="J473" s="13">
        <f>PMT(9%, 3, 0, 10000)</f>
        <v>-3050.5475732894051</v>
      </c>
    </row>
    <row r="476" spans="10:15">
      <c r="J476" s="13">
        <f>FV(4%/12, 6*12, 0, -500)</f>
        <v>635.37093953956696</v>
      </c>
    </row>
    <row r="483" spans="7:11" ht="409.5">
      <c r="J483" s="14" t="s">
        <v>311</v>
      </c>
    </row>
    <row r="484" spans="7:11" ht="150">
      <c r="J484" s="14" t="s">
        <v>308</v>
      </c>
    </row>
    <row r="485" spans="7:11" ht="112.5">
      <c r="J485" s="14" t="s">
        <v>309</v>
      </c>
    </row>
    <row r="486" spans="7:11">
      <c r="J486" s="14" t="s">
        <v>310</v>
      </c>
    </row>
    <row r="487" spans="7:11">
      <c r="G487" s="1" t="s">
        <v>37</v>
      </c>
      <c r="I487" s="1" t="s">
        <v>312</v>
      </c>
    </row>
    <row r="488" spans="7:11">
      <c r="G488" s="13">
        <f>FV(8.5%/4, 43*4, -350, 0)</f>
        <v>596479.44217255712</v>
      </c>
      <c r="I488" s="13">
        <f>-PV(4.5%/12, 25*12, 3200, 0)</f>
        <v>575713.02989221853</v>
      </c>
    </row>
    <row r="490" spans="7:11">
      <c r="G490" s="1">
        <v>596479.44217255712</v>
      </c>
    </row>
    <row r="491" spans="7:11">
      <c r="J491" s="1">
        <v>1000000</v>
      </c>
      <c r="K491" s="1">
        <v>15</v>
      </c>
    </row>
    <row r="493" spans="7:11">
      <c r="I493" s="13">
        <f>PMT(8.5%/4, 43*4, 0, I488)</f>
        <v>-337.81476144148957</v>
      </c>
      <c r="K493" s="13">
        <f>PV(8%/52, 15*52, 0, 1000000)</f>
        <v>-301472.08060894854</v>
      </c>
    </row>
    <row r="494" spans="7:11">
      <c r="I494" s="1">
        <v>-350</v>
      </c>
    </row>
    <row r="495" spans="7:11">
      <c r="K495" s="1" t="s">
        <v>313</v>
      </c>
    </row>
    <row r="498" spans="5:12">
      <c r="H498" s="1" t="s">
        <v>319</v>
      </c>
      <c r="I498" s="1" t="s">
        <v>320</v>
      </c>
    </row>
    <row r="499" spans="5:12">
      <c r="E499" t="s">
        <v>314</v>
      </c>
      <c r="F499" t="s">
        <v>97</v>
      </c>
      <c r="G499" t="s">
        <v>315</v>
      </c>
    </row>
    <row r="500" spans="5:12">
      <c r="E500" s="15">
        <v>44110</v>
      </c>
      <c r="F500">
        <v>11662.4</v>
      </c>
      <c r="G500">
        <v>1055.75</v>
      </c>
      <c r="H500" s="1" t="s">
        <v>316</v>
      </c>
      <c r="I500" s="1" t="s">
        <v>317</v>
      </c>
    </row>
    <row r="501" spans="5:12">
      <c r="E501" s="15">
        <v>44111</v>
      </c>
      <c r="F501">
        <v>11738.85</v>
      </c>
      <c r="G501">
        <v>1066.55</v>
      </c>
      <c r="H501" s="1">
        <f>F501/F500-1</f>
        <v>6.555254493071816E-3</v>
      </c>
      <c r="I501" s="1">
        <f>G501/G500-1</f>
        <v>1.0229694529954925E-2</v>
      </c>
      <c r="K501" s="1" t="s">
        <v>318</v>
      </c>
    </row>
    <row r="502" spans="5:12">
      <c r="E502" s="15">
        <v>44112</v>
      </c>
      <c r="F502">
        <v>11834.6</v>
      </c>
      <c r="G502">
        <v>1093.7</v>
      </c>
      <c r="H502" s="1">
        <f t="shared" ref="H502:H565" si="6">F502/F501-1</f>
        <v>8.1566763354161687E-3</v>
      </c>
      <c r="I502" s="1">
        <f t="shared" ref="I502:I565" si="7">G502/G501-1</f>
        <v>2.5455909240073238E-2</v>
      </c>
      <c r="K502" s="1">
        <f>_xlfn.COVARIANCE.P(H501:H748, I501:I748)/_xlfn.VAR.P(H501:H748)</f>
        <v>0.68103988463788889</v>
      </c>
    </row>
    <row r="503" spans="5:12">
      <c r="E503" s="15">
        <v>44113</v>
      </c>
      <c r="F503">
        <v>11914.2</v>
      </c>
      <c r="G503">
        <v>1106.8</v>
      </c>
      <c r="H503" s="1">
        <f t="shared" si="6"/>
        <v>6.7260405928379896E-3</v>
      </c>
      <c r="I503" s="1">
        <f t="shared" si="7"/>
        <v>1.1977690408704333E-2</v>
      </c>
    </row>
    <row r="504" spans="5:12">
      <c r="E504" s="15">
        <v>44116</v>
      </c>
      <c r="F504">
        <v>11930.95</v>
      </c>
      <c r="G504">
        <v>1132.0999999999999</v>
      </c>
      <c r="H504" s="1">
        <f t="shared" si="6"/>
        <v>1.4058854140437393E-3</v>
      </c>
      <c r="I504" s="1">
        <f t="shared" si="7"/>
        <v>2.2858691723888658E-2</v>
      </c>
      <c r="K504" s="1">
        <f>_xlfn.COVARIANCE.P(H501:H748, I501:I748)</f>
        <v>6.3541101639177537E-5</v>
      </c>
      <c r="L504" s="1" t="e">
        <f ca="1">_xlfn.FORMULATEXT(K504)</f>
        <v>#NAME?</v>
      </c>
    </row>
    <row r="505" spans="5:12">
      <c r="E505" s="15">
        <v>44117</v>
      </c>
      <c r="F505">
        <v>11934.5</v>
      </c>
      <c r="G505">
        <v>1157.8</v>
      </c>
      <c r="H505" s="1">
        <f t="shared" si="6"/>
        <v>2.9754545949822742E-4</v>
      </c>
      <c r="I505" s="1">
        <f t="shared" si="7"/>
        <v>2.2701174807879143E-2</v>
      </c>
      <c r="K505" s="1">
        <f>_xlfn.VAR.P(H501:H748)</f>
        <v>9.3300118058375607E-5</v>
      </c>
      <c r="L505" s="1" t="e">
        <f ca="1">_xlfn.FORMULATEXT(K505)</f>
        <v>#NAME?</v>
      </c>
    </row>
    <row r="506" spans="5:12">
      <c r="E506" s="15">
        <v>44118</v>
      </c>
      <c r="F506">
        <v>11971.05</v>
      </c>
      <c r="G506">
        <v>1137</v>
      </c>
      <c r="H506" s="1">
        <f t="shared" si="6"/>
        <v>3.0625497507226207E-3</v>
      </c>
      <c r="I506" s="1">
        <f t="shared" si="7"/>
        <v>-1.7965106235964701E-2</v>
      </c>
    </row>
    <row r="507" spans="5:12">
      <c r="E507" s="15">
        <v>44119</v>
      </c>
      <c r="F507">
        <v>11680.35</v>
      </c>
      <c r="G507">
        <v>1108.25</v>
      </c>
      <c r="H507" s="1">
        <f t="shared" si="6"/>
        <v>-2.4283584146753912E-2</v>
      </c>
      <c r="I507" s="1">
        <f t="shared" si="7"/>
        <v>-2.5285839929639398E-2</v>
      </c>
      <c r="K507" s="1">
        <f>K504/K505</f>
        <v>0.68103988463788889</v>
      </c>
    </row>
    <row r="508" spans="5:12">
      <c r="E508" s="15">
        <v>44120</v>
      </c>
      <c r="F508">
        <v>11762.45</v>
      </c>
      <c r="G508">
        <v>1127.5</v>
      </c>
      <c r="H508" s="1">
        <f t="shared" si="6"/>
        <v>7.0288989627880216E-3</v>
      </c>
      <c r="I508" s="1">
        <f t="shared" si="7"/>
        <v>1.7369727047146455E-2</v>
      </c>
    </row>
    <row r="509" spans="5:12">
      <c r="E509" s="15">
        <v>44123</v>
      </c>
      <c r="F509">
        <v>11873.05</v>
      </c>
      <c r="G509">
        <v>1125.9000000000001</v>
      </c>
      <c r="H509" s="1">
        <f t="shared" si="6"/>
        <v>9.4028029874726471E-3</v>
      </c>
      <c r="I509" s="1">
        <f t="shared" si="7"/>
        <v>-1.4190687361418375E-3</v>
      </c>
    </row>
    <row r="510" spans="5:12">
      <c r="E510" s="15">
        <v>44124</v>
      </c>
      <c r="F510">
        <v>11896.8</v>
      </c>
      <c r="G510">
        <v>1137.5</v>
      </c>
      <c r="H510" s="1">
        <f t="shared" si="6"/>
        <v>2.0003284749916528E-3</v>
      </c>
      <c r="I510" s="1">
        <f t="shared" si="7"/>
        <v>1.0302868816058242E-2</v>
      </c>
    </row>
    <row r="511" spans="5:12">
      <c r="E511" s="15">
        <v>44125</v>
      </c>
      <c r="F511">
        <v>11937.65</v>
      </c>
      <c r="G511">
        <v>1148.3499999999999</v>
      </c>
      <c r="H511" s="1">
        <f t="shared" si="6"/>
        <v>3.4336964561898498E-3</v>
      </c>
      <c r="I511" s="1">
        <f t="shared" si="7"/>
        <v>9.5384615384614957E-3</v>
      </c>
    </row>
    <row r="512" spans="5:12">
      <c r="E512" s="15">
        <v>44126</v>
      </c>
      <c r="F512">
        <v>11896.45</v>
      </c>
      <c r="G512">
        <v>1129.05</v>
      </c>
      <c r="H512" s="1">
        <f t="shared" si="6"/>
        <v>-3.4512655338361231E-3</v>
      </c>
      <c r="I512" s="1">
        <f t="shared" si="7"/>
        <v>-1.6806722689075571E-2</v>
      </c>
    </row>
    <row r="513" spans="5:9">
      <c r="E513" s="15">
        <v>44127</v>
      </c>
      <c r="F513">
        <v>11930.35</v>
      </c>
      <c r="G513">
        <v>1122.5</v>
      </c>
      <c r="H513" s="1">
        <f t="shared" si="6"/>
        <v>2.8495895834470542E-3</v>
      </c>
      <c r="I513" s="1">
        <f t="shared" si="7"/>
        <v>-5.8013374075549518E-3</v>
      </c>
    </row>
    <row r="514" spans="5:9">
      <c r="E514" s="15">
        <v>44130</v>
      </c>
      <c r="F514">
        <v>11767.75</v>
      </c>
      <c r="G514">
        <v>1112.45</v>
      </c>
      <c r="H514" s="1">
        <f t="shared" si="6"/>
        <v>-1.362910560042252E-2</v>
      </c>
      <c r="I514" s="1">
        <f t="shared" si="7"/>
        <v>-8.9532293986636091E-3</v>
      </c>
    </row>
    <row r="515" spans="5:9">
      <c r="E515" s="15">
        <v>44131</v>
      </c>
      <c r="F515">
        <v>11889.4</v>
      </c>
      <c r="G515">
        <v>1090.8499999999999</v>
      </c>
      <c r="H515" s="1">
        <f t="shared" si="6"/>
        <v>1.0337575152429279E-2</v>
      </c>
      <c r="I515" s="1">
        <f t="shared" si="7"/>
        <v>-1.9416602993393095E-2</v>
      </c>
    </row>
    <row r="516" spans="5:9">
      <c r="E516" s="15">
        <v>44132</v>
      </c>
      <c r="F516">
        <v>11729.6</v>
      </c>
      <c r="G516">
        <v>1076.55</v>
      </c>
      <c r="H516" s="1">
        <f t="shared" si="6"/>
        <v>-1.3440543677561423E-2</v>
      </c>
      <c r="I516" s="1">
        <f t="shared" si="7"/>
        <v>-1.3109043406517862E-2</v>
      </c>
    </row>
    <row r="517" spans="5:9">
      <c r="E517" s="15">
        <v>44133</v>
      </c>
      <c r="F517">
        <v>11670.8</v>
      </c>
      <c r="G517">
        <v>1074.8499999999999</v>
      </c>
      <c r="H517" s="1">
        <f t="shared" si="6"/>
        <v>-5.0129586686673555E-3</v>
      </c>
      <c r="I517" s="1">
        <f t="shared" si="7"/>
        <v>-1.5791184803307656E-3</v>
      </c>
    </row>
    <row r="518" spans="5:9">
      <c r="E518" s="15">
        <v>44134</v>
      </c>
      <c r="F518">
        <v>11642.4</v>
      </c>
      <c r="G518">
        <v>1060.5999999999999</v>
      </c>
      <c r="H518" s="1">
        <f t="shared" si="6"/>
        <v>-2.4334235870719922E-3</v>
      </c>
      <c r="I518" s="1">
        <f t="shared" si="7"/>
        <v>-1.3257663860073543E-2</v>
      </c>
    </row>
    <row r="519" spans="5:9">
      <c r="E519" s="15">
        <v>44137</v>
      </c>
      <c r="F519">
        <v>11669.15</v>
      </c>
      <c r="G519">
        <v>1072.3</v>
      </c>
      <c r="H519" s="1">
        <f t="shared" si="6"/>
        <v>2.297636226207711E-3</v>
      </c>
      <c r="I519" s="1">
        <f t="shared" si="7"/>
        <v>1.1031491608523458E-2</v>
      </c>
    </row>
    <row r="520" spans="5:9">
      <c r="E520" s="15">
        <v>44138</v>
      </c>
      <c r="F520">
        <v>11813.5</v>
      </c>
      <c r="G520">
        <v>1062.55</v>
      </c>
      <c r="H520" s="1">
        <f t="shared" si="6"/>
        <v>1.237022405230892E-2</v>
      </c>
      <c r="I520" s="1">
        <f t="shared" si="7"/>
        <v>-9.0926046815257289E-3</v>
      </c>
    </row>
    <row r="521" spans="5:9">
      <c r="E521" s="15">
        <v>44139</v>
      </c>
      <c r="F521">
        <v>11908.5</v>
      </c>
      <c r="G521">
        <v>1093.95</v>
      </c>
      <c r="H521" s="1">
        <f t="shared" si="6"/>
        <v>8.0416472679560869E-3</v>
      </c>
      <c r="I521" s="1">
        <f t="shared" si="7"/>
        <v>2.955155051526992E-2</v>
      </c>
    </row>
    <row r="522" spans="5:9">
      <c r="E522" s="15">
        <v>44140</v>
      </c>
      <c r="F522">
        <v>12120.3</v>
      </c>
      <c r="G522">
        <v>1104</v>
      </c>
      <c r="H522" s="1">
        <f t="shared" si="6"/>
        <v>1.7785615316790571E-2</v>
      </c>
      <c r="I522" s="1">
        <f t="shared" si="7"/>
        <v>9.1868915398327644E-3</v>
      </c>
    </row>
    <row r="523" spans="5:9">
      <c r="E523" s="15">
        <v>44141</v>
      </c>
      <c r="F523">
        <v>12263.55</v>
      </c>
      <c r="G523">
        <v>1112.75</v>
      </c>
      <c r="H523" s="1">
        <f t="shared" si="6"/>
        <v>1.1819014380832105E-2</v>
      </c>
      <c r="I523" s="1">
        <f t="shared" si="7"/>
        <v>7.925724637681153E-3</v>
      </c>
    </row>
    <row r="524" spans="5:9">
      <c r="E524" s="15">
        <v>44144</v>
      </c>
      <c r="F524">
        <v>12461.05</v>
      </c>
      <c r="G524">
        <v>1136.55</v>
      </c>
      <c r="H524" s="1">
        <f t="shared" si="6"/>
        <v>1.6104635280974833E-2</v>
      </c>
      <c r="I524" s="1">
        <f t="shared" si="7"/>
        <v>2.1388452033251015E-2</v>
      </c>
    </row>
    <row r="525" spans="5:9">
      <c r="E525" s="15">
        <v>44145</v>
      </c>
      <c r="F525">
        <v>12631.1</v>
      </c>
      <c r="G525">
        <v>1091.05</v>
      </c>
      <c r="H525" s="1">
        <f t="shared" si="6"/>
        <v>1.3646522564310537E-2</v>
      </c>
      <c r="I525" s="1">
        <f t="shared" si="7"/>
        <v>-4.0033434516739241E-2</v>
      </c>
    </row>
    <row r="526" spans="5:9">
      <c r="E526" s="15">
        <v>44146</v>
      </c>
      <c r="F526">
        <v>12749.15</v>
      </c>
      <c r="G526">
        <v>1122.5</v>
      </c>
      <c r="H526" s="1">
        <f t="shared" si="6"/>
        <v>9.3459793683843273E-3</v>
      </c>
      <c r="I526" s="1">
        <f t="shared" si="7"/>
        <v>2.8825443380230187E-2</v>
      </c>
    </row>
    <row r="527" spans="5:9">
      <c r="E527" s="15">
        <v>44147</v>
      </c>
      <c r="F527">
        <v>12690.8</v>
      </c>
      <c r="G527">
        <v>1117.75</v>
      </c>
      <c r="H527" s="1">
        <f t="shared" si="6"/>
        <v>-4.5767757066157433E-3</v>
      </c>
      <c r="I527" s="1">
        <f t="shared" si="7"/>
        <v>-4.2316258351893232E-3</v>
      </c>
    </row>
    <row r="528" spans="5:9">
      <c r="E528" s="15">
        <v>44148</v>
      </c>
      <c r="F528">
        <v>12719.95</v>
      </c>
      <c r="G528">
        <v>1124.2</v>
      </c>
      <c r="H528" s="1">
        <f t="shared" si="6"/>
        <v>2.2969395152394601E-3</v>
      </c>
      <c r="I528" s="1">
        <f t="shared" si="7"/>
        <v>5.7705211362111264E-3</v>
      </c>
    </row>
    <row r="529" spans="5:9">
      <c r="E529" s="15">
        <v>44149</v>
      </c>
      <c r="F529">
        <v>12780.25</v>
      </c>
      <c r="G529">
        <v>1133.45</v>
      </c>
      <c r="H529" s="1">
        <f t="shared" si="6"/>
        <v>4.7405846721095823E-3</v>
      </c>
      <c r="I529" s="1">
        <f t="shared" si="7"/>
        <v>8.228073296566496E-3</v>
      </c>
    </row>
    <row r="530" spans="5:9">
      <c r="E530" s="15">
        <v>44152</v>
      </c>
      <c r="F530">
        <v>12874.2</v>
      </c>
      <c r="G530">
        <v>1123.7</v>
      </c>
      <c r="H530" s="1">
        <f t="shared" si="6"/>
        <v>7.3511864008921624E-3</v>
      </c>
      <c r="I530" s="1">
        <f t="shared" si="7"/>
        <v>-8.6020556707397944E-3</v>
      </c>
    </row>
    <row r="531" spans="5:9">
      <c r="E531" s="15">
        <v>44153</v>
      </c>
      <c r="F531">
        <v>12938.25</v>
      </c>
      <c r="G531">
        <v>1110.55</v>
      </c>
      <c r="H531" s="1">
        <f t="shared" si="6"/>
        <v>4.9750664118934917E-3</v>
      </c>
      <c r="I531" s="1">
        <f t="shared" si="7"/>
        <v>-1.1702411675714286E-2</v>
      </c>
    </row>
    <row r="532" spans="5:9">
      <c r="E532" s="15">
        <v>44154</v>
      </c>
      <c r="F532">
        <v>12771.7</v>
      </c>
      <c r="G532">
        <v>1096.75</v>
      </c>
      <c r="H532" s="1">
        <f t="shared" si="6"/>
        <v>-1.2872683709156951E-2</v>
      </c>
      <c r="I532" s="1">
        <f t="shared" si="7"/>
        <v>-1.2426275269010856E-2</v>
      </c>
    </row>
    <row r="533" spans="5:9">
      <c r="E533" s="15">
        <v>44155</v>
      </c>
      <c r="F533">
        <v>12859.05</v>
      </c>
      <c r="G533">
        <v>1103.3499999999999</v>
      </c>
      <c r="H533" s="1">
        <f t="shared" si="6"/>
        <v>6.8393401035100609E-3</v>
      </c>
      <c r="I533" s="1">
        <f t="shared" si="7"/>
        <v>6.0177798039662278E-3</v>
      </c>
    </row>
    <row r="534" spans="5:9">
      <c r="E534" s="15">
        <v>44158</v>
      </c>
      <c r="F534">
        <v>12926.45</v>
      </c>
      <c r="G534">
        <v>1139.8499999999999</v>
      </c>
      <c r="H534" s="1">
        <f t="shared" si="6"/>
        <v>5.2414447412523213E-3</v>
      </c>
      <c r="I534" s="1">
        <f t="shared" si="7"/>
        <v>3.3081071282911045E-2</v>
      </c>
    </row>
    <row r="535" spans="5:9">
      <c r="E535" s="15">
        <v>44159</v>
      </c>
      <c r="F535">
        <v>13055.15</v>
      </c>
      <c r="G535">
        <v>1140.05</v>
      </c>
      <c r="H535" s="1">
        <f t="shared" si="6"/>
        <v>9.956329850809631E-3</v>
      </c>
      <c r="I535" s="1">
        <f t="shared" si="7"/>
        <v>1.7546168355497826E-4</v>
      </c>
    </row>
    <row r="536" spans="5:9">
      <c r="E536" s="15">
        <v>44160</v>
      </c>
      <c r="F536">
        <v>12858.4</v>
      </c>
      <c r="G536">
        <v>1115.6500000000001</v>
      </c>
      <c r="H536" s="1">
        <f t="shared" si="6"/>
        <v>-1.5070680919024304E-2</v>
      </c>
      <c r="I536" s="1">
        <f t="shared" si="7"/>
        <v>-2.1402570062716397E-2</v>
      </c>
    </row>
    <row r="537" spans="5:9">
      <c r="E537" s="15">
        <v>44161</v>
      </c>
      <c r="F537">
        <v>12987</v>
      </c>
      <c r="G537">
        <v>1113.2</v>
      </c>
      <c r="H537" s="1">
        <f t="shared" si="6"/>
        <v>1.000124432277727E-2</v>
      </c>
      <c r="I537" s="1">
        <f t="shared" si="7"/>
        <v>-2.1960292206337773E-3</v>
      </c>
    </row>
    <row r="538" spans="5:9">
      <c r="E538" s="15">
        <v>44162</v>
      </c>
      <c r="F538">
        <v>12968.95</v>
      </c>
      <c r="G538">
        <v>1100</v>
      </c>
      <c r="H538" s="1">
        <f t="shared" si="6"/>
        <v>-1.3898513898513709E-3</v>
      </c>
      <c r="I538" s="1">
        <f t="shared" si="7"/>
        <v>-1.1857707509881465E-2</v>
      </c>
    </row>
    <row r="539" spans="5:9">
      <c r="E539" s="15">
        <v>44166</v>
      </c>
      <c r="F539">
        <v>13109.05</v>
      </c>
      <c r="G539">
        <v>1137.8499999999999</v>
      </c>
      <c r="H539" s="1">
        <f t="shared" si="6"/>
        <v>1.0802724970024435E-2</v>
      </c>
      <c r="I539" s="1">
        <f t="shared" si="7"/>
        <v>3.4409090909090834E-2</v>
      </c>
    </row>
    <row r="540" spans="5:9">
      <c r="E540" s="15">
        <v>44167</v>
      </c>
      <c r="F540">
        <v>13113.75</v>
      </c>
      <c r="G540">
        <v>1140.9000000000001</v>
      </c>
      <c r="H540" s="1">
        <f t="shared" si="6"/>
        <v>3.5853093855009455E-4</v>
      </c>
      <c r="I540" s="1">
        <f t="shared" si="7"/>
        <v>2.6804939139606354E-3</v>
      </c>
    </row>
    <row r="541" spans="5:9">
      <c r="E541" s="15">
        <v>44168</v>
      </c>
      <c r="F541">
        <v>13133.9</v>
      </c>
      <c r="G541">
        <v>1126.45</v>
      </c>
      <c r="H541" s="1">
        <f t="shared" si="6"/>
        <v>1.5365551425030599E-3</v>
      </c>
      <c r="I541" s="1">
        <f t="shared" si="7"/>
        <v>-1.2665439565255565E-2</v>
      </c>
    </row>
    <row r="542" spans="5:9">
      <c r="E542" s="15">
        <v>44169</v>
      </c>
      <c r="F542">
        <v>13258.55</v>
      </c>
      <c r="G542">
        <v>1134.6500000000001</v>
      </c>
      <c r="H542" s="1">
        <f t="shared" si="6"/>
        <v>9.4907072537480097E-3</v>
      </c>
      <c r="I542" s="1">
        <f t="shared" si="7"/>
        <v>7.2795064139554722E-3</v>
      </c>
    </row>
    <row r="543" spans="5:9">
      <c r="E543" s="15">
        <v>44172</v>
      </c>
      <c r="F543">
        <v>13355.75</v>
      </c>
      <c r="G543">
        <v>1143.5</v>
      </c>
      <c r="H543" s="1">
        <f t="shared" si="6"/>
        <v>7.331118410384363E-3</v>
      </c>
      <c r="I543" s="1">
        <f t="shared" si="7"/>
        <v>7.7997620411580648E-3</v>
      </c>
    </row>
    <row r="544" spans="5:9">
      <c r="E544" s="15">
        <v>44173</v>
      </c>
      <c r="F544">
        <v>13392.95</v>
      </c>
      <c r="G544">
        <v>1153.3499999999999</v>
      </c>
      <c r="H544" s="1">
        <f t="shared" si="6"/>
        <v>2.785317185481917E-3</v>
      </c>
      <c r="I544" s="1">
        <f t="shared" si="7"/>
        <v>8.6139046786182227E-3</v>
      </c>
    </row>
    <row r="545" spans="5:9">
      <c r="E545" s="15">
        <v>44174</v>
      </c>
      <c r="F545">
        <v>13529.1</v>
      </c>
      <c r="G545">
        <v>1175.2</v>
      </c>
      <c r="H545" s="1">
        <f t="shared" si="6"/>
        <v>1.0165796183813081E-2</v>
      </c>
      <c r="I545" s="1">
        <f t="shared" si="7"/>
        <v>1.8944812936229294E-2</v>
      </c>
    </row>
    <row r="546" spans="5:9">
      <c r="E546" s="15">
        <v>44175</v>
      </c>
      <c r="F546">
        <v>13478.3</v>
      </c>
      <c r="G546">
        <v>1167.75</v>
      </c>
      <c r="H546" s="1">
        <f t="shared" si="6"/>
        <v>-3.7548691339409634E-3</v>
      </c>
      <c r="I546" s="1">
        <f t="shared" si="7"/>
        <v>-6.339346494213749E-3</v>
      </c>
    </row>
    <row r="547" spans="5:9">
      <c r="E547" s="15">
        <v>44176</v>
      </c>
      <c r="F547">
        <v>13513.85</v>
      </c>
      <c r="G547">
        <v>1163.2</v>
      </c>
      <c r="H547" s="1">
        <f t="shared" si="6"/>
        <v>2.6375729876915166E-3</v>
      </c>
      <c r="I547" s="1">
        <f t="shared" si="7"/>
        <v>-3.896381931064008E-3</v>
      </c>
    </row>
    <row r="548" spans="5:9">
      <c r="E548" s="15">
        <v>44179</v>
      </c>
      <c r="F548">
        <v>13558.15</v>
      </c>
      <c r="G548">
        <v>1164.55</v>
      </c>
      <c r="H548" s="1">
        <f t="shared" si="6"/>
        <v>3.2781183748524789E-3</v>
      </c>
      <c r="I548" s="1">
        <f t="shared" si="7"/>
        <v>1.1605914718018084E-3</v>
      </c>
    </row>
    <row r="549" spans="5:9">
      <c r="E549" s="15">
        <v>44180</v>
      </c>
      <c r="F549">
        <v>13567.85</v>
      </c>
      <c r="G549">
        <v>1154.5999999999999</v>
      </c>
      <c r="H549" s="1">
        <f t="shared" si="6"/>
        <v>7.1543684057195911E-4</v>
      </c>
      <c r="I549" s="1">
        <f t="shared" si="7"/>
        <v>-8.5440728178266534E-3</v>
      </c>
    </row>
    <row r="550" spans="5:9">
      <c r="E550" s="15">
        <v>44181</v>
      </c>
      <c r="F550">
        <v>13682.7</v>
      </c>
      <c r="G550">
        <v>1165.7</v>
      </c>
      <c r="H550" s="1">
        <f t="shared" si="6"/>
        <v>8.4648636298307878E-3</v>
      </c>
      <c r="I550" s="1">
        <f t="shared" si="7"/>
        <v>9.6137190368961178E-3</v>
      </c>
    </row>
    <row r="551" spans="5:9">
      <c r="E551" s="15">
        <v>44182</v>
      </c>
      <c r="F551">
        <v>13740.7</v>
      </c>
      <c r="G551">
        <v>1159.2</v>
      </c>
      <c r="H551" s="1">
        <f t="shared" si="6"/>
        <v>4.2389294510585263E-3</v>
      </c>
      <c r="I551" s="1">
        <f t="shared" si="7"/>
        <v>-5.5760487260873015E-3</v>
      </c>
    </row>
    <row r="552" spans="5:9">
      <c r="E552" s="15">
        <v>44183</v>
      </c>
      <c r="F552">
        <v>13760.55</v>
      </c>
      <c r="G552">
        <v>1189.8</v>
      </c>
      <c r="H552" s="1">
        <f t="shared" si="6"/>
        <v>1.4446134476409078E-3</v>
      </c>
      <c r="I552" s="1">
        <f t="shared" si="7"/>
        <v>2.6397515527950333E-2</v>
      </c>
    </row>
    <row r="553" spans="5:9">
      <c r="E553" s="15">
        <v>44186</v>
      </c>
      <c r="F553">
        <v>13328.4</v>
      </c>
      <c r="G553">
        <v>1177.3</v>
      </c>
      <c r="H553" s="1">
        <f t="shared" si="6"/>
        <v>-3.1404994713147394E-2</v>
      </c>
      <c r="I553" s="1">
        <f t="shared" si="7"/>
        <v>-1.0505967389477178E-2</v>
      </c>
    </row>
    <row r="554" spans="5:9">
      <c r="E554" s="15">
        <v>44187</v>
      </c>
      <c r="F554">
        <v>13466.3</v>
      </c>
      <c r="G554">
        <v>1220.5</v>
      </c>
      <c r="H554" s="1">
        <f t="shared" si="6"/>
        <v>1.0346328141412231E-2</v>
      </c>
      <c r="I554" s="1">
        <f t="shared" si="7"/>
        <v>3.669413063790028E-2</v>
      </c>
    </row>
    <row r="555" spans="5:9">
      <c r="E555" s="15">
        <v>44188</v>
      </c>
      <c r="F555">
        <v>13601.1</v>
      </c>
      <c r="G555">
        <v>1253.05</v>
      </c>
      <c r="H555" s="1">
        <f t="shared" si="6"/>
        <v>1.0010173544329204E-2</v>
      </c>
      <c r="I555" s="1">
        <f t="shared" si="7"/>
        <v>2.6669397787791871E-2</v>
      </c>
    </row>
    <row r="556" spans="5:9">
      <c r="E556" s="15">
        <v>44189</v>
      </c>
      <c r="F556">
        <v>13749.25</v>
      </c>
      <c r="G556">
        <v>1236.05</v>
      </c>
      <c r="H556" s="1">
        <f t="shared" si="6"/>
        <v>1.0892501341803307E-2</v>
      </c>
      <c r="I556" s="1">
        <f t="shared" si="7"/>
        <v>-1.3566896771876613E-2</v>
      </c>
    </row>
    <row r="557" spans="5:9">
      <c r="E557" s="15">
        <v>44193</v>
      </c>
      <c r="F557">
        <v>13873.2</v>
      </c>
      <c r="G557">
        <v>1240.3</v>
      </c>
      <c r="H557" s="1">
        <f t="shared" si="6"/>
        <v>9.0150371838464416E-3</v>
      </c>
      <c r="I557" s="1">
        <f t="shared" si="7"/>
        <v>3.4383722341329026E-3</v>
      </c>
    </row>
    <row r="558" spans="5:9">
      <c r="E558" s="15">
        <v>44194</v>
      </c>
      <c r="F558">
        <v>13932.6</v>
      </c>
      <c r="G558">
        <v>1250.3</v>
      </c>
      <c r="H558" s="1">
        <f t="shared" si="6"/>
        <v>4.2816365366318276E-3</v>
      </c>
      <c r="I558" s="1">
        <f t="shared" si="7"/>
        <v>8.0625655083448322E-3</v>
      </c>
    </row>
    <row r="559" spans="5:9">
      <c r="E559" s="15">
        <v>44195</v>
      </c>
      <c r="F559">
        <v>13981.95</v>
      </c>
      <c r="G559">
        <v>1246.8</v>
      </c>
      <c r="H559" s="1">
        <f t="shared" si="6"/>
        <v>3.5420524525213715E-3</v>
      </c>
      <c r="I559" s="1">
        <f t="shared" si="7"/>
        <v>-2.7993281612412879E-3</v>
      </c>
    </row>
    <row r="560" spans="5:9">
      <c r="E560" s="15">
        <v>44196</v>
      </c>
      <c r="F560">
        <v>13981.75</v>
      </c>
      <c r="G560">
        <v>1255.8</v>
      </c>
      <c r="H560" s="1">
        <f t="shared" si="6"/>
        <v>-1.430415643033367E-5</v>
      </c>
      <c r="I560" s="1">
        <f t="shared" si="7"/>
        <v>7.2184793070260156E-3</v>
      </c>
    </row>
    <row r="561" spans="5:9">
      <c r="E561" s="15">
        <v>44197</v>
      </c>
      <c r="F561">
        <v>14018.5</v>
      </c>
      <c r="G561">
        <v>1260.45</v>
      </c>
      <c r="H561" s="1">
        <f t="shared" si="6"/>
        <v>2.6284263414808606E-3</v>
      </c>
      <c r="I561" s="1">
        <f t="shared" si="7"/>
        <v>3.7028189202104045E-3</v>
      </c>
    </row>
    <row r="562" spans="5:9">
      <c r="E562" s="15">
        <v>44200</v>
      </c>
      <c r="F562">
        <v>14132.9</v>
      </c>
      <c r="G562">
        <v>1288.25</v>
      </c>
      <c r="H562" s="1">
        <f t="shared" si="6"/>
        <v>8.1606448621465155E-3</v>
      </c>
      <c r="I562" s="1">
        <f t="shared" si="7"/>
        <v>2.2055615058114153E-2</v>
      </c>
    </row>
    <row r="563" spans="5:9">
      <c r="E563" s="15">
        <v>44201</v>
      </c>
      <c r="F563">
        <v>14199.5</v>
      </c>
      <c r="G563">
        <v>1293.8</v>
      </c>
      <c r="H563" s="1">
        <f t="shared" si="6"/>
        <v>4.7124086351704175E-3</v>
      </c>
      <c r="I563" s="1">
        <f t="shared" si="7"/>
        <v>4.3081699980593857E-3</v>
      </c>
    </row>
    <row r="564" spans="5:9">
      <c r="E564" s="15">
        <v>44202</v>
      </c>
      <c r="F564">
        <v>14146.25</v>
      </c>
      <c r="G564">
        <v>1282.0999999999999</v>
      </c>
      <c r="H564" s="1">
        <f t="shared" si="6"/>
        <v>-3.7501320469031096E-3</v>
      </c>
      <c r="I564" s="1">
        <f t="shared" si="7"/>
        <v>-9.0431287679703098E-3</v>
      </c>
    </row>
    <row r="565" spans="5:9">
      <c r="E565" s="15">
        <v>44203</v>
      </c>
      <c r="F565">
        <v>14137.35</v>
      </c>
      <c r="G565">
        <v>1262.1500000000001</v>
      </c>
      <c r="H565" s="1">
        <f t="shared" si="6"/>
        <v>-6.2914199876284993E-4</v>
      </c>
      <c r="I565" s="1">
        <f t="shared" si="7"/>
        <v>-1.5560408704469064E-2</v>
      </c>
    </row>
    <row r="566" spans="5:9">
      <c r="E566" s="15">
        <v>44204</v>
      </c>
      <c r="F566">
        <v>14347.25</v>
      </c>
      <c r="G566">
        <v>1312.1</v>
      </c>
      <c r="H566" s="1">
        <f t="shared" ref="H566:H629" si="8">F566/F565-1</f>
        <v>1.4847195549378078E-2</v>
      </c>
      <c r="I566" s="1">
        <f t="shared" ref="I566:I629" si="9">G566/G565-1</f>
        <v>3.9575327813651251E-2</v>
      </c>
    </row>
    <row r="567" spans="5:9">
      <c r="E567" s="15">
        <v>44207</v>
      </c>
      <c r="F567">
        <v>14484.75</v>
      </c>
      <c r="G567">
        <v>1376.2</v>
      </c>
      <c r="H567" s="1">
        <f t="shared" si="8"/>
        <v>9.5837181341371647E-3</v>
      </c>
      <c r="I567" s="1">
        <f t="shared" si="9"/>
        <v>4.8852983766481284E-2</v>
      </c>
    </row>
    <row r="568" spans="5:9">
      <c r="E568" s="15">
        <v>44208</v>
      </c>
      <c r="F568">
        <v>14563.45</v>
      </c>
      <c r="G568">
        <v>1371.75</v>
      </c>
      <c r="H568" s="1">
        <f t="shared" si="8"/>
        <v>5.4333005402233958E-3</v>
      </c>
      <c r="I568" s="1">
        <f t="shared" si="9"/>
        <v>-3.2335416363901137E-3</v>
      </c>
    </row>
    <row r="569" spans="5:9">
      <c r="E569" s="15">
        <v>44209</v>
      </c>
      <c r="F569">
        <v>14564.85</v>
      </c>
      <c r="G569">
        <v>1387.15</v>
      </c>
      <c r="H569" s="1">
        <f t="shared" si="8"/>
        <v>9.6131067844451579E-5</v>
      </c>
      <c r="I569" s="1">
        <f t="shared" si="9"/>
        <v>1.1226535447421249E-2</v>
      </c>
    </row>
    <row r="570" spans="5:9">
      <c r="E570" s="15">
        <v>44210</v>
      </c>
      <c r="F570">
        <v>14595.6</v>
      </c>
      <c r="G570">
        <v>1370.5</v>
      </c>
      <c r="H570" s="1">
        <f t="shared" si="8"/>
        <v>2.1112472837001572E-3</v>
      </c>
      <c r="I570" s="1">
        <f t="shared" si="9"/>
        <v>-1.2003027790794096E-2</v>
      </c>
    </row>
    <row r="571" spans="5:9">
      <c r="E571" s="15">
        <v>44211</v>
      </c>
      <c r="F571">
        <v>14433.7</v>
      </c>
      <c r="G571">
        <v>1344.95</v>
      </c>
      <c r="H571" s="1">
        <f t="shared" si="8"/>
        <v>-1.1092384006138767E-2</v>
      </c>
      <c r="I571" s="1">
        <f t="shared" si="9"/>
        <v>-1.8642831083546141E-2</v>
      </c>
    </row>
    <row r="572" spans="5:9">
      <c r="E572" s="15">
        <v>44214</v>
      </c>
      <c r="F572">
        <v>14281.3</v>
      </c>
      <c r="G572">
        <v>1312.05</v>
      </c>
      <c r="H572" s="1">
        <f t="shared" si="8"/>
        <v>-1.0558623222042929E-2</v>
      </c>
      <c r="I572" s="1">
        <f t="shared" si="9"/>
        <v>-2.4461875906167552E-2</v>
      </c>
    </row>
    <row r="573" spans="5:9">
      <c r="E573" s="15">
        <v>44215</v>
      </c>
      <c r="F573">
        <v>14521.15</v>
      </c>
      <c r="G573">
        <v>1316.65</v>
      </c>
      <c r="H573" s="1">
        <f t="shared" si="8"/>
        <v>1.6794689559073817E-2</v>
      </c>
      <c r="I573" s="1">
        <f t="shared" si="9"/>
        <v>3.5059639495447215E-3</v>
      </c>
    </row>
    <row r="574" spans="5:9">
      <c r="E574" s="15">
        <v>44216</v>
      </c>
      <c r="F574">
        <v>14644.7</v>
      </c>
      <c r="G574">
        <v>1339.45</v>
      </c>
      <c r="H574" s="1">
        <f t="shared" si="8"/>
        <v>8.508279302947841E-3</v>
      </c>
      <c r="I574" s="1">
        <f t="shared" si="9"/>
        <v>1.7316674894618966E-2</v>
      </c>
    </row>
    <row r="575" spans="5:9">
      <c r="E575" s="15">
        <v>44217</v>
      </c>
      <c r="F575">
        <v>14590.35</v>
      </c>
      <c r="G575">
        <v>1339.7</v>
      </c>
      <c r="H575" s="1">
        <f t="shared" si="8"/>
        <v>-3.711240243910785E-3</v>
      </c>
      <c r="I575" s="1">
        <f t="shared" si="9"/>
        <v>1.8664377169730351E-4</v>
      </c>
    </row>
    <row r="576" spans="5:9">
      <c r="E576" s="15">
        <v>44218</v>
      </c>
      <c r="F576">
        <v>14371.9</v>
      </c>
      <c r="G576">
        <v>1340.85</v>
      </c>
      <c r="H576" s="1">
        <f t="shared" si="8"/>
        <v>-1.4972224792414224E-2</v>
      </c>
      <c r="I576" s="1">
        <f t="shared" si="9"/>
        <v>8.5840113458224288E-4</v>
      </c>
    </row>
    <row r="577" spans="5:9">
      <c r="E577" s="15">
        <v>44221</v>
      </c>
      <c r="F577">
        <v>14238.9</v>
      </c>
      <c r="G577">
        <v>1325.1</v>
      </c>
      <c r="H577" s="1">
        <f t="shared" si="8"/>
        <v>-9.2541695948343827E-3</v>
      </c>
      <c r="I577" s="1">
        <f t="shared" si="9"/>
        <v>-1.1746280344557603E-2</v>
      </c>
    </row>
    <row r="578" spans="5:9">
      <c r="E578" s="15">
        <v>44223</v>
      </c>
      <c r="F578">
        <v>13967.5</v>
      </c>
      <c r="G578">
        <v>1301</v>
      </c>
      <c r="H578" s="1">
        <f t="shared" si="8"/>
        <v>-1.9060461131126694E-2</v>
      </c>
      <c r="I578" s="1">
        <f t="shared" si="9"/>
        <v>-1.8187306618368315E-2</v>
      </c>
    </row>
    <row r="579" spans="5:9">
      <c r="E579" s="15">
        <v>44224</v>
      </c>
      <c r="F579">
        <v>13817.55</v>
      </c>
      <c r="G579">
        <v>1276.2</v>
      </c>
      <c r="H579" s="1">
        <f t="shared" si="8"/>
        <v>-1.0735636298550233E-2</v>
      </c>
      <c r="I579" s="1">
        <f t="shared" si="9"/>
        <v>-1.9062259800153747E-2</v>
      </c>
    </row>
    <row r="580" spans="5:9">
      <c r="E580" s="15">
        <v>44225</v>
      </c>
      <c r="F580">
        <v>13634.6</v>
      </c>
      <c r="G580">
        <v>1239.05</v>
      </c>
      <c r="H580" s="1">
        <f t="shared" si="8"/>
        <v>-1.3240408031814588E-2</v>
      </c>
      <c r="I580" s="1">
        <f t="shared" si="9"/>
        <v>-2.9109857389124083E-2</v>
      </c>
    </row>
    <row r="581" spans="5:9">
      <c r="E581" s="15">
        <v>44228</v>
      </c>
      <c r="F581">
        <v>14281.2</v>
      </c>
      <c r="G581">
        <v>1260.9000000000001</v>
      </c>
      <c r="H581" s="1">
        <f t="shared" si="8"/>
        <v>4.7423466768368838E-2</v>
      </c>
      <c r="I581" s="1">
        <f t="shared" si="9"/>
        <v>1.7634478027521272E-2</v>
      </c>
    </row>
    <row r="582" spans="5:9">
      <c r="E582" s="15">
        <v>44229</v>
      </c>
      <c r="F582">
        <v>14647.85</v>
      </c>
      <c r="G582">
        <v>1271.25</v>
      </c>
      <c r="H582" s="1">
        <f t="shared" si="8"/>
        <v>2.5673612861664363E-2</v>
      </c>
      <c r="I582" s="1">
        <f t="shared" si="9"/>
        <v>8.2084225553176182E-3</v>
      </c>
    </row>
    <row r="583" spans="5:9">
      <c r="E583" s="15">
        <v>44230</v>
      </c>
      <c r="F583">
        <v>14789.95</v>
      </c>
      <c r="G583">
        <v>1284.6500000000001</v>
      </c>
      <c r="H583" s="1">
        <f t="shared" si="8"/>
        <v>9.7010824114118765E-3</v>
      </c>
      <c r="I583" s="1">
        <f t="shared" si="9"/>
        <v>1.054080629301879E-2</v>
      </c>
    </row>
    <row r="584" spans="5:9">
      <c r="E584" s="15">
        <v>44231</v>
      </c>
      <c r="F584">
        <v>14895.65</v>
      </c>
      <c r="G584">
        <v>1279.3499999999999</v>
      </c>
      <c r="H584" s="1">
        <f t="shared" si="8"/>
        <v>7.1467449180016018E-3</v>
      </c>
      <c r="I584" s="1">
        <f t="shared" si="9"/>
        <v>-4.1256373331258755E-3</v>
      </c>
    </row>
    <row r="585" spans="5:9">
      <c r="E585" s="15">
        <v>44232</v>
      </c>
      <c r="F585">
        <v>14924.25</v>
      </c>
      <c r="G585">
        <v>1272.0999999999999</v>
      </c>
      <c r="H585" s="1">
        <f t="shared" si="8"/>
        <v>1.9200236310601415E-3</v>
      </c>
      <c r="I585" s="1">
        <f t="shared" si="9"/>
        <v>-5.6669402430922222E-3</v>
      </c>
    </row>
    <row r="586" spans="5:9">
      <c r="E586" s="15">
        <v>44235</v>
      </c>
      <c r="F586">
        <v>15115.8</v>
      </c>
      <c r="G586">
        <v>1303.55</v>
      </c>
      <c r="H586" s="1">
        <f t="shared" si="8"/>
        <v>1.2834815819890322E-2</v>
      </c>
      <c r="I586" s="1">
        <f t="shared" si="9"/>
        <v>2.472289914314918E-2</v>
      </c>
    </row>
    <row r="587" spans="5:9">
      <c r="E587" s="15">
        <v>44236</v>
      </c>
      <c r="F587">
        <v>15109.3</v>
      </c>
      <c r="G587">
        <v>1305.55</v>
      </c>
      <c r="H587" s="1">
        <f t="shared" si="8"/>
        <v>-4.3001362812422617E-4</v>
      </c>
      <c r="I587" s="1">
        <f t="shared" si="9"/>
        <v>1.5342717962487651E-3</v>
      </c>
    </row>
    <row r="588" spans="5:9">
      <c r="E588" s="15">
        <v>44237</v>
      </c>
      <c r="F588">
        <v>15106.5</v>
      </c>
      <c r="G588">
        <v>1296.5</v>
      </c>
      <c r="H588" s="1">
        <f t="shared" si="8"/>
        <v>-1.8531632835405709E-4</v>
      </c>
      <c r="I588" s="1">
        <f t="shared" si="9"/>
        <v>-6.9319443912526646E-3</v>
      </c>
    </row>
    <row r="589" spans="5:9">
      <c r="E589" s="15">
        <v>44238</v>
      </c>
      <c r="F589">
        <v>15173.3</v>
      </c>
      <c r="G589">
        <v>1292.6500000000001</v>
      </c>
      <c r="H589" s="1">
        <f t="shared" si="8"/>
        <v>4.4219375765397473E-3</v>
      </c>
      <c r="I589" s="1">
        <f t="shared" si="9"/>
        <v>-2.9695333590434858E-3</v>
      </c>
    </row>
    <row r="590" spans="5:9">
      <c r="E590" s="15">
        <v>44239</v>
      </c>
      <c r="F590">
        <v>15163.3</v>
      </c>
      <c r="G590">
        <v>1309.8</v>
      </c>
      <c r="H590" s="1">
        <f t="shared" si="8"/>
        <v>-6.5905241443853235E-4</v>
      </c>
      <c r="I590" s="1">
        <f t="shared" si="9"/>
        <v>1.326731907322154E-2</v>
      </c>
    </row>
    <row r="591" spans="5:9">
      <c r="E591" s="15">
        <v>44242</v>
      </c>
      <c r="F591">
        <v>15314.7</v>
      </c>
      <c r="G591">
        <v>1309.6500000000001</v>
      </c>
      <c r="H591" s="1">
        <f t="shared" si="8"/>
        <v>9.9846339517124516E-3</v>
      </c>
      <c r="I591" s="1">
        <f t="shared" si="9"/>
        <v>-1.1452130096190061E-4</v>
      </c>
    </row>
    <row r="592" spans="5:9">
      <c r="E592" s="15">
        <v>44243</v>
      </c>
      <c r="F592">
        <v>15313.45</v>
      </c>
      <c r="G592">
        <v>1290.4000000000001</v>
      </c>
      <c r="H592" s="1">
        <f t="shared" si="8"/>
        <v>-8.1620926299597052E-5</v>
      </c>
      <c r="I592" s="1">
        <f t="shared" si="9"/>
        <v>-1.4698583591035819E-2</v>
      </c>
    </row>
    <row r="593" spans="5:9">
      <c r="E593" s="15">
        <v>44244</v>
      </c>
      <c r="F593">
        <v>15208.9</v>
      </c>
      <c r="G593">
        <v>1281.3</v>
      </c>
      <c r="H593" s="1">
        <f t="shared" si="8"/>
        <v>-6.8273315288195358E-3</v>
      </c>
      <c r="I593" s="1">
        <f t="shared" si="9"/>
        <v>-7.0520768753875585E-3</v>
      </c>
    </row>
    <row r="594" spans="5:9">
      <c r="E594" s="15">
        <v>44245</v>
      </c>
      <c r="F594">
        <v>15118.95</v>
      </c>
      <c r="G594">
        <v>1292.45</v>
      </c>
      <c r="H594" s="1">
        <f t="shared" si="8"/>
        <v>-5.9143001795001204E-3</v>
      </c>
      <c r="I594" s="1">
        <f t="shared" si="9"/>
        <v>8.7020994302662302E-3</v>
      </c>
    </row>
    <row r="595" spans="5:9">
      <c r="E595" s="15">
        <v>44246</v>
      </c>
      <c r="F595">
        <v>14981.75</v>
      </c>
      <c r="G595">
        <v>1291.3</v>
      </c>
      <c r="H595" s="1">
        <f t="shared" si="8"/>
        <v>-9.0747042618700702E-3</v>
      </c>
      <c r="I595" s="1">
        <f t="shared" si="9"/>
        <v>-8.897829703277127E-4</v>
      </c>
    </row>
    <row r="596" spans="5:9">
      <c r="E596" s="15">
        <v>44249</v>
      </c>
      <c r="F596">
        <v>14675.7</v>
      </c>
      <c r="G596">
        <v>1265.2</v>
      </c>
      <c r="H596" s="1">
        <f t="shared" si="8"/>
        <v>-2.0428187628281025E-2</v>
      </c>
      <c r="I596" s="1">
        <f t="shared" si="9"/>
        <v>-2.0212189266630487E-2</v>
      </c>
    </row>
    <row r="597" spans="5:9">
      <c r="E597" s="15">
        <v>44250</v>
      </c>
      <c r="F597">
        <v>14707.8</v>
      </c>
      <c r="G597">
        <v>1266.3499999999999</v>
      </c>
      <c r="H597" s="1">
        <f t="shared" si="8"/>
        <v>2.1872891923382376E-3</v>
      </c>
      <c r="I597" s="1">
        <f t="shared" si="9"/>
        <v>9.089472020233913E-4</v>
      </c>
    </row>
    <row r="598" spans="5:9">
      <c r="E598" s="15">
        <v>44251</v>
      </c>
      <c r="F598">
        <v>14982</v>
      </c>
      <c r="G598">
        <v>1274.3</v>
      </c>
      <c r="H598" s="1">
        <f t="shared" si="8"/>
        <v>1.8643168930771559E-2</v>
      </c>
      <c r="I598" s="1">
        <f t="shared" si="9"/>
        <v>6.2778852607889846E-3</v>
      </c>
    </row>
    <row r="599" spans="5:9">
      <c r="E599" s="15">
        <v>44252</v>
      </c>
      <c r="F599">
        <v>15097.35</v>
      </c>
      <c r="G599">
        <v>1274.55</v>
      </c>
      <c r="H599" s="1">
        <f t="shared" si="8"/>
        <v>7.699239086904397E-3</v>
      </c>
      <c r="I599" s="1">
        <f t="shared" si="9"/>
        <v>1.9618614141103663E-4</v>
      </c>
    </row>
    <row r="600" spans="5:9">
      <c r="E600" s="15">
        <v>44253</v>
      </c>
      <c r="F600">
        <v>14529.15</v>
      </c>
      <c r="G600">
        <v>1253.3</v>
      </c>
      <c r="H600" s="1">
        <f t="shared" si="8"/>
        <v>-3.7635744021301765E-2</v>
      </c>
      <c r="I600" s="1">
        <f t="shared" si="9"/>
        <v>-1.6672551096465371E-2</v>
      </c>
    </row>
    <row r="601" spans="5:9">
      <c r="E601" s="15">
        <v>44256</v>
      </c>
      <c r="F601">
        <v>14761.55</v>
      </c>
      <c r="G601">
        <v>1267</v>
      </c>
      <c r="H601" s="1">
        <f t="shared" si="8"/>
        <v>1.5995429877177836E-2</v>
      </c>
      <c r="I601" s="1">
        <f t="shared" si="9"/>
        <v>1.0931141785685883E-2</v>
      </c>
    </row>
    <row r="602" spans="5:9">
      <c r="E602" s="15">
        <v>44257</v>
      </c>
      <c r="F602">
        <v>14919.1</v>
      </c>
      <c r="G602">
        <v>1304.5</v>
      </c>
      <c r="H602" s="1">
        <f t="shared" si="8"/>
        <v>1.0672998431736636E-2</v>
      </c>
      <c r="I602" s="1">
        <f t="shared" si="9"/>
        <v>2.9597474348855624E-2</v>
      </c>
    </row>
    <row r="603" spans="5:9">
      <c r="E603" s="15">
        <v>44258</v>
      </c>
      <c r="F603">
        <v>15245.6</v>
      </c>
      <c r="G603">
        <v>1343.55</v>
      </c>
      <c r="H603" s="1">
        <f t="shared" si="8"/>
        <v>2.188469813862759E-2</v>
      </c>
      <c r="I603" s="1">
        <f t="shared" si="9"/>
        <v>2.9934840935224249E-2</v>
      </c>
    </row>
    <row r="604" spans="5:9">
      <c r="E604" s="15">
        <v>44259</v>
      </c>
      <c r="F604">
        <v>15080.75</v>
      </c>
      <c r="G604">
        <v>1330.35</v>
      </c>
      <c r="H604" s="1">
        <f t="shared" si="8"/>
        <v>-1.0812955869234475E-2</v>
      </c>
      <c r="I604" s="1">
        <f t="shared" si="9"/>
        <v>-9.8247180975773452E-3</v>
      </c>
    </row>
    <row r="605" spans="5:9">
      <c r="E605" s="15">
        <v>44260</v>
      </c>
      <c r="F605">
        <v>14938.1</v>
      </c>
      <c r="G605">
        <v>1316.7</v>
      </c>
      <c r="H605" s="1">
        <f t="shared" si="8"/>
        <v>-9.4590786267261251E-3</v>
      </c>
      <c r="I605" s="1">
        <f t="shared" si="9"/>
        <v>-1.0260457774269871E-2</v>
      </c>
    </row>
    <row r="606" spans="5:9">
      <c r="E606" s="15">
        <v>44263</v>
      </c>
      <c r="F606">
        <v>14956.2</v>
      </c>
      <c r="G606">
        <v>1335.75</v>
      </c>
      <c r="H606" s="1">
        <f t="shared" si="8"/>
        <v>1.2116668117096996E-3</v>
      </c>
      <c r="I606" s="1">
        <f t="shared" si="9"/>
        <v>1.4467988152198741E-2</v>
      </c>
    </row>
    <row r="607" spans="5:9">
      <c r="E607" s="15">
        <v>44264</v>
      </c>
      <c r="F607">
        <v>15098.4</v>
      </c>
      <c r="G607">
        <v>1345.55</v>
      </c>
      <c r="H607" s="1">
        <f t="shared" si="8"/>
        <v>9.5077626669874959E-3</v>
      </c>
      <c r="I607" s="1">
        <f t="shared" si="9"/>
        <v>7.3367022272130544E-3</v>
      </c>
    </row>
    <row r="608" spans="5:9">
      <c r="E608" s="15">
        <v>44265</v>
      </c>
      <c r="F608">
        <v>15174.8</v>
      </c>
      <c r="G608">
        <v>1368.15</v>
      </c>
      <c r="H608" s="1">
        <f t="shared" si="8"/>
        <v>5.0601388226567678E-3</v>
      </c>
      <c r="I608" s="1">
        <f t="shared" si="9"/>
        <v>1.6796105681691653E-2</v>
      </c>
    </row>
    <row r="609" spans="5:9">
      <c r="E609" s="15">
        <v>44267</v>
      </c>
      <c r="F609">
        <v>15030.95</v>
      </c>
      <c r="G609">
        <v>1374.85</v>
      </c>
      <c r="H609" s="1">
        <f t="shared" si="8"/>
        <v>-9.4795318554444785E-3</v>
      </c>
      <c r="I609" s="1">
        <f t="shared" si="9"/>
        <v>4.8971238533785932E-3</v>
      </c>
    </row>
    <row r="610" spans="5:9">
      <c r="E610" s="15">
        <v>44270</v>
      </c>
      <c r="F610">
        <v>14929.5</v>
      </c>
      <c r="G610">
        <v>1373.6</v>
      </c>
      <c r="H610" s="1">
        <f t="shared" si="8"/>
        <v>-6.7494070567729603E-3</v>
      </c>
      <c r="I610" s="1">
        <f t="shared" si="9"/>
        <v>-9.0919009346479562E-4</v>
      </c>
    </row>
    <row r="611" spans="5:9">
      <c r="E611" s="15">
        <v>44271</v>
      </c>
      <c r="F611">
        <v>14910.45</v>
      </c>
      <c r="G611">
        <v>1384</v>
      </c>
      <c r="H611" s="1">
        <f t="shared" si="8"/>
        <v>-1.2759971867778441E-3</v>
      </c>
      <c r="I611" s="1">
        <f t="shared" si="9"/>
        <v>7.5713453698311728E-3</v>
      </c>
    </row>
    <row r="612" spans="5:9">
      <c r="E612" s="15">
        <v>44272</v>
      </c>
      <c r="F612">
        <v>14721.3</v>
      </c>
      <c r="G612">
        <v>1387</v>
      </c>
      <c r="H612" s="1">
        <f t="shared" si="8"/>
        <v>-1.2685733830971047E-2</v>
      </c>
      <c r="I612" s="1">
        <f t="shared" si="9"/>
        <v>2.1676300578035157E-3</v>
      </c>
    </row>
    <row r="613" spans="5:9">
      <c r="E613" s="15">
        <v>44273</v>
      </c>
      <c r="F613">
        <v>14557.85</v>
      </c>
      <c r="G613">
        <v>1337.1</v>
      </c>
      <c r="H613" s="1">
        <f t="shared" si="8"/>
        <v>-1.1102959657095401E-2</v>
      </c>
      <c r="I613" s="1">
        <f t="shared" si="9"/>
        <v>-3.5976928622927229E-2</v>
      </c>
    </row>
    <row r="614" spans="5:9">
      <c r="E614" s="15">
        <v>44274</v>
      </c>
      <c r="F614">
        <v>14744</v>
      </c>
      <c r="G614">
        <v>1344.45</v>
      </c>
      <c r="H614" s="1">
        <f t="shared" si="8"/>
        <v>1.2786915650319308E-2</v>
      </c>
      <c r="I614" s="1">
        <f t="shared" si="9"/>
        <v>5.4969710567647212E-3</v>
      </c>
    </row>
    <row r="615" spans="5:9">
      <c r="E615" s="15">
        <v>44277</v>
      </c>
      <c r="F615">
        <v>14736.4</v>
      </c>
      <c r="G615">
        <v>1370.8</v>
      </c>
      <c r="H615" s="1">
        <f t="shared" si="8"/>
        <v>-5.1546391752577136E-4</v>
      </c>
      <c r="I615" s="1">
        <f t="shared" si="9"/>
        <v>1.9599092565733223E-2</v>
      </c>
    </row>
    <row r="616" spans="5:9">
      <c r="E616" s="15">
        <v>44278</v>
      </c>
      <c r="F616">
        <v>14814.75</v>
      </c>
      <c r="G616">
        <v>1371.55</v>
      </c>
      <c r="H616" s="1">
        <f t="shared" si="8"/>
        <v>5.3167666458564522E-3</v>
      </c>
      <c r="I616" s="1">
        <f t="shared" si="9"/>
        <v>5.4712576597615303E-4</v>
      </c>
    </row>
    <row r="617" spans="5:9">
      <c r="E617" s="15">
        <v>44279</v>
      </c>
      <c r="F617">
        <v>14549.4</v>
      </c>
      <c r="G617">
        <v>1353.75</v>
      </c>
      <c r="H617" s="1">
        <f t="shared" si="8"/>
        <v>-1.7911203361514749E-2</v>
      </c>
      <c r="I617" s="1">
        <f t="shared" si="9"/>
        <v>-1.2978017571360856E-2</v>
      </c>
    </row>
    <row r="618" spans="5:9">
      <c r="E618" s="15">
        <v>44280</v>
      </c>
      <c r="F618">
        <v>14324.9</v>
      </c>
      <c r="G618">
        <v>1333.8</v>
      </c>
      <c r="H618" s="1">
        <f t="shared" si="8"/>
        <v>-1.5430189561081553E-2</v>
      </c>
      <c r="I618" s="1">
        <f t="shared" si="9"/>
        <v>-1.4736842105263159E-2</v>
      </c>
    </row>
    <row r="619" spans="5:9">
      <c r="E619" s="15">
        <v>44281</v>
      </c>
      <c r="F619">
        <v>14507.3</v>
      </c>
      <c r="G619">
        <v>1336.2</v>
      </c>
      <c r="H619" s="1">
        <f t="shared" si="8"/>
        <v>1.2733073180266397E-2</v>
      </c>
      <c r="I619" s="1">
        <f t="shared" si="9"/>
        <v>1.799370220422869E-3</v>
      </c>
    </row>
    <row r="620" spans="5:9">
      <c r="E620" s="15">
        <v>44285</v>
      </c>
      <c r="F620">
        <v>14845.1</v>
      </c>
      <c r="G620">
        <v>1385.3</v>
      </c>
      <c r="H620" s="1">
        <f t="shared" si="8"/>
        <v>2.3284829017115705E-2</v>
      </c>
      <c r="I620" s="1">
        <f t="shared" si="9"/>
        <v>3.674599610836693E-2</v>
      </c>
    </row>
    <row r="621" spans="5:9">
      <c r="E621" s="15">
        <v>44286</v>
      </c>
      <c r="F621">
        <v>14690.7</v>
      </c>
      <c r="G621">
        <v>1368.05</v>
      </c>
      <c r="H621" s="1">
        <f t="shared" si="8"/>
        <v>-1.0400738290749056E-2</v>
      </c>
      <c r="I621" s="1">
        <f t="shared" si="9"/>
        <v>-1.2452176423879302E-2</v>
      </c>
    </row>
    <row r="622" spans="5:9">
      <c r="E622" s="15">
        <v>44287</v>
      </c>
      <c r="F622">
        <v>14867.35</v>
      </c>
      <c r="G622">
        <v>1385.2</v>
      </c>
      <c r="H622" s="1">
        <f t="shared" si="8"/>
        <v>1.2024614211712192E-2</v>
      </c>
      <c r="I622" s="1">
        <f t="shared" si="9"/>
        <v>1.2536091517122872E-2</v>
      </c>
    </row>
    <row r="623" spans="5:9">
      <c r="E623" s="15">
        <v>44291</v>
      </c>
      <c r="F623">
        <v>14637.8</v>
      </c>
      <c r="G623">
        <v>1409.9</v>
      </c>
      <c r="H623" s="1">
        <f t="shared" si="8"/>
        <v>-1.5439873279367244E-2</v>
      </c>
      <c r="I623" s="1">
        <f t="shared" si="9"/>
        <v>1.7831360092405379E-2</v>
      </c>
    </row>
    <row r="624" spans="5:9">
      <c r="E624" s="15">
        <v>44292</v>
      </c>
      <c r="F624">
        <v>14683.5</v>
      </c>
      <c r="G624">
        <v>1411.05</v>
      </c>
      <c r="H624" s="1">
        <f t="shared" si="8"/>
        <v>3.1220538605529757E-3</v>
      </c>
      <c r="I624" s="1">
        <f t="shared" si="9"/>
        <v>8.156606851548176E-4</v>
      </c>
    </row>
    <row r="625" spans="5:9">
      <c r="E625" s="15">
        <v>44293</v>
      </c>
      <c r="F625">
        <v>14819.05</v>
      </c>
      <c r="G625">
        <v>1430.2</v>
      </c>
      <c r="H625" s="1">
        <f t="shared" si="8"/>
        <v>9.2314502673067622E-3</v>
      </c>
      <c r="I625" s="1">
        <f t="shared" si="9"/>
        <v>1.3571453881860984E-2</v>
      </c>
    </row>
    <row r="626" spans="5:9">
      <c r="E626" s="15">
        <v>44294</v>
      </c>
      <c r="F626">
        <v>14873.8</v>
      </c>
      <c r="G626">
        <v>1439.85</v>
      </c>
      <c r="H626" s="1">
        <f t="shared" si="8"/>
        <v>3.6945688151399647E-3</v>
      </c>
      <c r="I626" s="1">
        <f t="shared" si="9"/>
        <v>6.7473080688014164E-3</v>
      </c>
    </row>
    <row r="627" spans="5:9">
      <c r="E627" s="15">
        <v>44295</v>
      </c>
      <c r="F627">
        <v>14834.85</v>
      </c>
      <c r="G627">
        <v>1441.05</v>
      </c>
      <c r="H627" s="1">
        <f t="shared" si="8"/>
        <v>-2.6186986513196953E-3</v>
      </c>
      <c r="I627" s="1">
        <f t="shared" si="9"/>
        <v>8.3342014793208463E-4</v>
      </c>
    </row>
    <row r="628" spans="5:9">
      <c r="E628" s="15">
        <v>44298</v>
      </c>
      <c r="F628">
        <v>14310.8</v>
      </c>
      <c r="G628">
        <v>1425.75</v>
      </c>
      <c r="H628" s="1">
        <f t="shared" si="8"/>
        <v>-3.5325601539617946E-2</v>
      </c>
      <c r="I628" s="1">
        <f t="shared" si="9"/>
        <v>-1.061725824919324E-2</v>
      </c>
    </row>
    <row r="629" spans="5:9">
      <c r="E629" s="15">
        <v>44299</v>
      </c>
      <c r="F629">
        <v>14504.8</v>
      </c>
      <c r="G629">
        <v>1397.15</v>
      </c>
      <c r="H629" s="1">
        <f t="shared" si="8"/>
        <v>1.3556195321016373E-2</v>
      </c>
      <c r="I629" s="1">
        <f t="shared" si="9"/>
        <v>-2.0059617745046388E-2</v>
      </c>
    </row>
    <row r="630" spans="5:9">
      <c r="E630" s="15">
        <v>44301</v>
      </c>
      <c r="F630">
        <v>14581.45</v>
      </c>
      <c r="G630">
        <v>1360.75</v>
      </c>
      <c r="H630" s="1">
        <f t="shared" ref="H630:H693" si="10">F630/F629-1</f>
        <v>5.2844575588770759E-3</v>
      </c>
      <c r="I630" s="1">
        <f t="shared" ref="I630:I693" si="11">G630/G629-1</f>
        <v>-2.6053036538668084E-2</v>
      </c>
    </row>
    <row r="631" spans="5:9">
      <c r="E631" s="15">
        <v>44302</v>
      </c>
      <c r="F631">
        <v>14617.85</v>
      </c>
      <c r="G631">
        <v>1353.75</v>
      </c>
      <c r="H631" s="1">
        <f t="shared" si="10"/>
        <v>2.4963223822047631E-3</v>
      </c>
      <c r="I631" s="1">
        <f t="shared" si="11"/>
        <v>-5.1442219364321584E-3</v>
      </c>
    </row>
    <row r="632" spans="5:9">
      <c r="E632" s="15">
        <v>44305</v>
      </c>
      <c r="F632">
        <v>14359.45</v>
      </c>
      <c r="G632">
        <v>1362.55</v>
      </c>
      <c r="H632" s="1">
        <f t="shared" si="10"/>
        <v>-1.7677018166146197E-2</v>
      </c>
      <c r="I632" s="1">
        <f t="shared" si="11"/>
        <v>6.5004616805171E-3</v>
      </c>
    </row>
    <row r="633" spans="5:9">
      <c r="E633" s="15">
        <v>44306</v>
      </c>
      <c r="F633">
        <v>14296.4</v>
      </c>
      <c r="G633">
        <v>1351.35</v>
      </c>
      <c r="H633" s="1">
        <f t="shared" si="10"/>
        <v>-4.3908366963916201E-3</v>
      </c>
      <c r="I633" s="1">
        <f t="shared" si="11"/>
        <v>-8.2198818391986395E-3</v>
      </c>
    </row>
    <row r="634" spans="5:9">
      <c r="E634" s="15">
        <v>44308</v>
      </c>
      <c r="F634">
        <v>14406.15</v>
      </c>
      <c r="G634">
        <v>1351.1</v>
      </c>
      <c r="H634" s="1">
        <f t="shared" si="10"/>
        <v>7.6767577851766244E-3</v>
      </c>
      <c r="I634" s="1">
        <f t="shared" si="11"/>
        <v>-1.8500018500022808E-4</v>
      </c>
    </row>
    <row r="635" spans="5:9">
      <c r="E635" s="15">
        <v>44309</v>
      </c>
      <c r="F635">
        <v>14341.35</v>
      </c>
      <c r="G635">
        <v>1333.8</v>
      </c>
      <c r="H635" s="1">
        <f t="shared" si="10"/>
        <v>-4.4980789454502901E-3</v>
      </c>
      <c r="I635" s="1">
        <f t="shared" si="11"/>
        <v>-1.280438161498032E-2</v>
      </c>
    </row>
    <row r="636" spans="5:9">
      <c r="E636" s="15">
        <v>44312</v>
      </c>
      <c r="F636">
        <v>14485</v>
      </c>
      <c r="G636">
        <v>1343.55</v>
      </c>
      <c r="H636" s="1">
        <f t="shared" si="10"/>
        <v>1.0016490776670217E-2</v>
      </c>
      <c r="I636" s="1">
        <f t="shared" si="11"/>
        <v>7.309941520467822E-3</v>
      </c>
    </row>
    <row r="637" spans="5:9">
      <c r="E637" s="15">
        <v>44313</v>
      </c>
      <c r="F637">
        <v>14653.05</v>
      </c>
      <c r="G637">
        <v>1348.5</v>
      </c>
      <c r="H637" s="1">
        <f t="shared" si="10"/>
        <v>1.1601656886434109E-2</v>
      </c>
      <c r="I637" s="1">
        <f t="shared" si="11"/>
        <v>3.6842692865914906E-3</v>
      </c>
    </row>
    <row r="638" spans="5:9">
      <c r="E638" s="15">
        <v>44314</v>
      </c>
      <c r="F638">
        <v>14864.55</v>
      </c>
      <c r="G638">
        <v>1356</v>
      </c>
      <c r="H638" s="1">
        <f t="shared" si="10"/>
        <v>1.4433855067716328E-2</v>
      </c>
      <c r="I638" s="1">
        <f t="shared" si="11"/>
        <v>5.5617352614014681E-3</v>
      </c>
    </row>
    <row r="639" spans="5:9">
      <c r="E639" s="15">
        <v>44315</v>
      </c>
      <c r="F639">
        <v>14894.9</v>
      </c>
      <c r="G639">
        <v>1356.35</v>
      </c>
      <c r="H639" s="1">
        <f t="shared" si="10"/>
        <v>2.0417705211392967E-3</v>
      </c>
      <c r="I639" s="1">
        <f t="shared" si="11"/>
        <v>2.5811209439519089E-4</v>
      </c>
    </row>
    <row r="640" spans="5:9">
      <c r="E640" s="15">
        <v>44316</v>
      </c>
      <c r="F640">
        <v>14631.1</v>
      </c>
      <c r="G640">
        <v>1354.35</v>
      </c>
      <c r="H640" s="1">
        <f t="shared" si="10"/>
        <v>-1.7710760058812003E-2</v>
      </c>
      <c r="I640" s="1">
        <f t="shared" si="11"/>
        <v>-1.4745456556198855E-3</v>
      </c>
    </row>
    <row r="641" spans="5:9">
      <c r="E641" s="15">
        <v>44319</v>
      </c>
      <c r="F641">
        <v>14634.15</v>
      </c>
      <c r="G641">
        <v>1352.05</v>
      </c>
      <c r="H641" s="1">
        <f t="shared" si="10"/>
        <v>2.0846006110275539E-4</v>
      </c>
      <c r="I641" s="1">
        <f t="shared" si="11"/>
        <v>-1.6982316240262696E-3</v>
      </c>
    </row>
    <row r="642" spans="5:9">
      <c r="E642" s="15">
        <v>44320</v>
      </c>
      <c r="F642">
        <v>14496.5</v>
      </c>
      <c r="G642">
        <v>1329.4</v>
      </c>
      <c r="H642" s="1">
        <f t="shared" si="10"/>
        <v>-9.4060809818130586E-3</v>
      </c>
      <c r="I642" s="1">
        <f t="shared" si="11"/>
        <v>-1.6752339040715825E-2</v>
      </c>
    </row>
    <row r="643" spans="5:9">
      <c r="E643" s="15">
        <v>44321</v>
      </c>
      <c r="F643">
        <v>14617.85</v>
      </c>
      <c r="G643">
        <v>1341.5</v>
      </c>
      <c r="H643" s="1">
        <f t="shared" si="10"/>
        <v>8.3709861000931252E-3</v>
      </c>
      <c r="I643" s="1">
        <f t="shared" si="11"/>
        <v>9.1018504588535887E-3</v>
      </c>
    </row>
    <row r="644" spans="5:9">
      <c r="E644" s="15">
        <v>44322</v>
      </c>
      <c r="F644">
        <v>14724.8</v>
      </c>
      <c r="G644">
        <v>1361.6</v>
      </c>
      <c r="H644" s="1">
        <f t="shared" si="10"/>
        <v>7.3163974182248737E-3</v>
      </c>
      <c r="I644" s="1">
        <f t="shared" si="11"/>
        <v>1.4983227730152704E-2</v>
      </c>
    </row>
    <row r="645" spans="5:9">
      <c r="E645" s="15">
        <v>44323</v>
      </c>
      <c r="F645">
        <v>14823.15</v>
      </c>
      <c r="G645">
        <v>1352.55</v>
      </c>
      <c r="H645" s="1">
        <f t="shared" si="10"/>
        <v>6.6792078669999366E-3</v>
      </c>
      <c r="I645" s="1">
        <f t="shared" si="11"/>
        <v>-6.6465922444183256E-3</v>
      </c>
    </row>
    <row r="646" spans="5:9">
      <c r="E646" s="15">
        <v>44326</v>
      </c>
      <c r="F646">
        <v>14942.35</v>
      </c>
      <c r="G646">
        <v>1339.55</v>
      </c>
      <c r="H646" s="1">
        <f t="shared" si="10"/>
        <v>8.0414756647542163E-3</v>
      </c>
      <c r="I646" s="1">
        <f t="shared" si="11"/>
        <v>-9.6114746220102854E-3</v>
      </c>
    </row>
    <row r="647" spans="5:9">
      <c r="E647" s="15">
        <v>44327</v>
      </c>
      <c r="F647">
        <v>14850.75</v>
      </c>
      <c r="G647">
        <v>1330.65</v>
      </c>
      <c r="H647" s="1">
        <f t="shared" si="10"/>
        <v>-6.1302271731019653E-3</v>
      </c>
      <c r="I647" s="1">
        <f t="shared" si="11"/>
        <v>-6.6440222462765819E-3</v>
      </c>
    </row>
    <row r="648" spans="5:9">
      <c r="E648" s="15">
        <v>44328</v>
      </c>
      <c r="F648">
        <v>14696.5</v>
      </c>
      <c r="G648">
        <v>1327</v>
      </c>
      <c r="H648" s="1">
        <f t="shared" si="10"/>
        <v>-1.0386680807366599E-2</v>
      </c>
      <c r="I648" s="1">
        <f t="shared" si="11"/>
        <v>-2.7430203284110055E-3</v>
      </c>
    </row>
    <row r="649" spans="5:9">
      <c r="E649" s="15">
        <v>44330</v>
      </c>
      <c r="F649">
        <v>14677.8</v>
      </c>
      <c r="G649">
        <v>1316.4</v>
      </c>
      <c r="H649" s="1">
        <f t="shared" si="10"/>
        <v>-1.2724117987276129E-3</v>
      </c>
      <c r="I649" s="1">
        <f t="shared" si="11"/>
        <v>-7.9879427279577753E-3</v>
      </c>
    </row>
    <row r="650" spans="5:9">
      <c r="E650" s="15">
        <v>44333</v>
      </c>
      <c r="F650">
        <v>14923.15</v>
      </c>
      <c r="G650">
        <v>1329.4</v>
      </c>
      <c r="H650" s="1">
        <f t="shared" si="10"/>
        <v>1.671572033956048E-2</v>
      </c>
      <c r="I650" s="1">
        <f t="shared" si="11"/>
        <v>9.8754178061379871E-3</v>
      </c>
    </row>
    <row r="651" spans="5:9">
      <c r="E651" s="15">
        <v>44334</v>
      </c>
      <c r="F651">
        <v>15108.1</v>
      </c>
      <c r="G651">
        <v>1340</v>
      </c>
      <c r="H651" s="1">
        <f t="shared" si="10"/>
        <v>1.2393496011230853E-2</v>
      </c>
      <c r="I651" s="1">
        <f t="shared" si="11"/>
        <v>7.973521889574231E-3</v>
      </c>
    </row>
    <row r="652" spans="5:9">
      <c r="E652" s="15">
        <v>44335</v>
      </c>
      <c r="F652">
        <v>15030.15</v>
      </c>
      <c r="G652">
        <v>1337</v>
      </c>
      <c r="H652" s="1">
        <f t="shared" si="10"/>
        <v>-5.1594839854118835E-3</v>
      </c>
      <c r="I652" s="1">
        <f t="shared" si="11"/>
        <v>-2.2388059701492491E-3</v>
      </c>
    </row>
    <row r="653" spans="5:9">
      <c r="E653" s="15">
        <v>44336</v>
      </c>
      <c r="F653">
        <v>14906.05</v>
      </c>
      <c r="G653">
        <v>1339.3</v>
      </c>
      <c r="H653" s="1">
        <f t="shared" si="10"/>
        <v>-8.2567372913776582E-3</v>
      </c>
      <c r="I653" s="1">
        <f t="shared" si="11"/>
        <v>1.7202692595361668E-3</v>
      </c>
    </row>
    <row r="654" spans="5:9">
      <c r="E654" s="15">
        <v>44337</v>
      </c>
      <c r="F654">
        <v>15175.3</v>
      </c>
      <c r="G654">
        <v>1354.5</v>
      </c>
      <c r="H654" s="1">
        <f t="shared" si="10"/>
        <v>1.8063135438295186E-2</v>
      </c>
      <c r="I654" s="1">
        <f t="shared" si="11"/>
        <v>1.1349212275069132E-2</v>
      </c>
    </row>
    <row r="655" spans="5:9">
      <c r="E655" s="15">
        <v>44340</v>
      </c>
      <c r="F655">
        <v>15197.7</v>
      </c>
      <c r="G655">
        <v>1348.05</v>
      </c>
      <c r="H655" s="1">
        <f t="shared" si="10"/>
        <v>1.4760828451498842E-3</v>
      </c>
      <c r="I655" s="1">
        <f t="shared" si="11"/>
        <v>-4.761904761904745E-3</v>
      </c>
    </row>
    <row r="656" spans="5:9">
      <c r="E656" s="15">
        <v>44341</v>
      </c>
      <c r="F656">
        <v>15208.45</v>
      </c>
      <c r="G656">
        <v>1361.6</v>
      </c>
      <c r="H656" s="1">
        <f t="shared" si="10"/>
        <v>7.0734387440207769E-4</v>
      </c>
      <c r="I656" s="1">
        <f t="shared" si="11"/>
        <v>1.0051555951188673E-2</v>
      </c>
    </row>
    <row r="657" spans="5:9">
      <c r="E657" s="15">
        <v>44342</v>
      </c>
      <c r="F657">
        <v>15301.45</v>
      </c>
      <c r="G657">
        <v>1397.25</v>
      </c>
      <c r="H657" s="1">
        <f t="shared" si="10"/>
        <v>6.115021583396052E-3</v>
      </c>
      <c r="I657" s="1">
        <f t="shared" si="11"/>
        <v>2.6182432432432456E-2</v>
      </c>
    </row>
    <row r="658" spans="5:9">
      <c r="E658" s="15">
        <v>44343</v>
      </c>
      <c r="F658">
        <v>15337.85</v>
      </c>
      <c r="G658">
        <v>1402.25</v>
      </c>
      <c r="H658" s="1">
        <f t="shared" si="10"/>
        <v>2.3788595198495077E-3</v>
      </c>
      <c r="I658" s="1">
        <f t="shared" si="11"/>
        <v>3.5784576847379679E-3</v>
      </c>
    </row>
    <row r="659" spans="5:9">
      <c r="E659" s="15">
        <v>44344</v>
      </c>
      <c r="F659">
        <v>15435.65</v>
      </c>
      <c r="G659">
        <v>1405.05</v>
      </c>
      <c r="H659" s="1">
        <f t="shared" si="10"/>
        <v>6.3763826090357245E-3</v>
      </c>
      <c r="I659" s="1">
        <f t="shared" si="11"/>
        <v>1.9967908718130367E-3</v>
      </c>
    </row>
    <row r="660" spans="5:9">
      <c r="E660" s="15">
        <v>44347</v>
      </c>
      <c r="F660">
        <v>15582.8</v>
      </c>
      <c r="G660">
        <v>1393.75</v>
      </c>
      <c r="H660" s="1">
        <f t="shared" si="10"/>
        <v>9.5331262369904302E-3</v>
      </c>
      <c r="I660" s="1">
        <f t="shared" si="11"/>
        <v>-8.0424184192733339E-3</v>
      </c>
    </row>
    <row r="661" spans="5:9">
      <c r="E661" s="15">
        <v>44348</v>
      </c>
      <c r="F661">
        <v>15574.85</v>
      </c>
      <c r="G661">
        <v>1387.2</v>
      </c>
      <c r="H661" s="1">
        <f t="shared" si="10"/>
        <v>-5.1017788844098799E-4</v>
      </c>
      <c r="I661" s="1">
        <f t="shared" si="11"/>
        <v>-4.6995515695067436E-3</v>
      </c>
    </row>
    <row r="662" spans="5:9">
      <c r="E662" s="15">
        <v>44349</v>
      </c>
      <c r="F662">
        <v>15576.2</v>
      </c>
      <c r="G662">
        <v>1378.65</v>
      </c>
      <c r="H662" s="1">
        <f t="shared" si="10"/>
        <v>8.667820235830348E-5</v>
      </c>
      <c r="I662" s="1">
        <f t="shared" si="11"/>
        <v>-6.1634948096885855E-3</v>
      </c>
    </row>
    <row r="663" spans="5:9">
      <c r="E663" s="15">
        <v>44350</v>
      </c>
      <c r="F663">
        <v>15690.35</v>
      </c>
      <c r="G663">
        <v>1389.65</v>
      </c>
      <c r="H663" s="1">
        <f t="shared" si="10"/>
        <v>7.3284883347670693E-3</v>
      </c>
      <c r="I663" s="1">
        <f t="shared" si="11"/>
        <v>7.9788198600079241E-3</v>
      </c>
    </row>
    <row r="664" spans="5:9">
      <c r="E664" s="15">
        <v>44351</v>
      </c>
      <c r="F664">
        <v>15670.25</v>
      </c>
      <c r="G664">
        <v>1385.65</v>
      </c>
      <c r="H664" s="1">
        <f t="shared" si="10"/>
        <v>-1.2810421692314167E-3</v>
      </c>
      <c r="I664" s="1">
        <f t="shared" si="11"/>
        <v>-2.8784226244018551E-3</v>
      </c>
    </row>
    <row r="665" spans="5:9">
      <c r="E665" s="15">
        <v>44354</v>
      </c>
      <c r="F665">
        <v>15751.65</v>
      </c>
      <c r="G665">
        <v>1389.65</v>
      </c>
      <c r="H665" s="1">
        <f t="shared" si="10"/>
        <v>5.1945565641899893E-3</v>
      </c>
      <c r="I665" s="1">
        <f t="shared" si="11"/>
        <v>2.8867318586944801E-3</v>
      </c>
    </row>
    <row r="666" spans="5:9">
      <c r="E666" s="15">
        <v>44355</v>
      </c>
      <c r="F666">
        <v>15740.1</v>
      </c>
      <c r="G666">
        <v>1412.95</v>
      </c>
      <c r="H666" s="1">
        <f t="shared" si="10"/>
        <v>-7.3325651598399322E-4</v>
      </c>
      <c r="I666" s="1">
        <f t="shared" si="11"/>
        <v>1.6766811787140679E-2</v>
      </c>
    </row>
    <row r="667" spans="5:9">
      <c r="E667" s="15">
        <v>44356</v>
      </c>
      <c r="F667">
        <v>15635.35</v>
      </c>
      <c r="G667">
        <v>1415.3</v>
      </c>
      <c r="H667" s="1">
        <f t="shared" si="10"/>
        <v>-6.6549767790547998E-3</v>
      </c>
      <c r="I667" s="1">
        <f t="shared" si="11"/>
        <v>1.6631869492904627E-3</v>
      </c>
    </row>
    <row r="668" spans="5:9">
      <c r="E668" s="15">
        <v>44357</v>
      </c>
      <c r="F668">
        <v>15737.75</v>
      </c>
      <c r="G668">
        <v>1424.3</v>
      </c>
      <c r="H668" s="1">
        <f t="shared" si="10"/>
        <v>6.5492617690041666E-3</v>
      </c>
      <c r="I668" s="1">
        <f t="shared" si="11"/>
        <v>6.3590758143150516E-3</v>
      </c>
    </row>
    <row r="669" spans="5:9">
      <c r="E669" s="15">
        <v>44358</v>
      </c>
      <c r="F669">
        <v>15799.35</v>
      </c>
      <c r="G669">
        <v>1446.9</v>
      </c>
      <c r="H669" s="1">
        <f t="shared" si="10"/>
        <v>3.9141554542421186E-3</v>
      </c>
      <c r="I669" s="1">
        <f t="shared" si="11"/>
        <v>1.5867443656533142E-2</v>
      </c>
    </row>
    <row r="670" spans="5:9">
      <c r="E670" s="15">
        <v>44361</v>
      </c>
      <c r="F670">
        <v>15811.85</v>
      </c>
      <c r="G670">
        <v>1461.8</v>
      </c>
      <c r="H670" s="1">
        <f t="shared" si="10"/>
        <v>7.911717887127967E-4</v>
      </c>
      <c r="I670" s="1">
        <f t="shared" si="11"/>
        <v>1.0297878222406354E-2</v>
      </c>
    </row>
    <row r="671" spans="5:9">
      <c r="E671" s="15">
        <v>44362</v>
      </c>
      <c r="F671">
        <v>15869.25</v>
      </c>
      <c r="G671">
        <v>1473.9</v>
      </c>
      <c r="H671" s="1">
        <f t="shared" si="10"/>
        <v>3.6301887508418673E-3</v>
      </c>
      <c r="I671" s="1">
        <f t="shared" si="11"/>
        <v>8.2774661376385783E-3</v>
      </c>
    </row>
    <row r="672" spans="5:9">
      <c r="E672" s="15">
        <v>44363</v>
      </c>
      <c r="F672">
        <v>15767.55</v>
      </c>
      <c r="G672">
        <v>1480.6</v>
      </c>
      <c r="H672" s="1">
        <f t="shared" si="10"/>
        <v>-6.4086204452006301E-3</v>
      </c>
      <c r="I672" s="1">
        <f t="shared" si="11"/>
        <v>4.5457629418548251E-3</v>
      </c>
    </row>
    <row r="673" spans="5:9">
      <c r="E673" s="15">
        <v>44364</v>
      </c>
      <c r="F673">
        <v>15691.4</v>
      </c>
      <c r="G673">
        <v>1495.3</v>
      </c>
      <c r="H673" s="1">
        <f t="shared" si="10"/>
        <v>-4.8295391484409755E-3</v>
      </c>
      <c r="I673" s="1">
        <f t="shared" si="11"/>
        <v>9.9284074024044155E-3</v>
      </c>
    </row>
    <row r="674" spans="5:9">
      <c r="E674" s="15">
        <v>44365</v>
      </c>
      <c r="F674">
        <v>15683.35</v>
      </c>
      <c r="G674">
        <v>1503.3</v>
      </c>
      <c r="H674" s="1">
        <f t="shared" si="10"/>
        <v>-5.1301987075713651E-4</v>
      </c>
      <c r="I674" s="1">
        <f t="shared" si="11"/>
        <v>5.3500969705075896E-3</v>
      </c>
    </row>
    <row r="675" spans="5:9">
      <c r="E675" s="15">
        <v>44368</v>
      </c>
      <c r="F675">
        <v>15746.5</v>
      </c>
      <c r="G675">
        <v>1500.3</v>
      </c>
      <c r="H675" s="1">
        <f t="shared" si="10"/>
        <v>4.0265632023770426E-3</v>
      </c>
      <c r="I675" s="1">
        <f t="shared" si="11"/>
        <v>-1.9956096587507854E-3</v>
      </c>
    </row>
    <row r="676" spans="5:9">
      <c r="E676" s="15">
        <v>44369</v>
      </c>
      <c r="F676">
        <v>15772.75</v>
      </c>
      <c r="G676">
        <v>1511.85</v>
      </c>
      <c r="H676" s="1">
        <f t="shared" si="10"/>
        <v>1.6670371193598932E-3</v>
      </c>
      <c r="I676" s="1">
        <f t="shared" si="11"/>
        <v>7.6984603079384151E-3</v>
      </c>
    </row>
    <row r="677" spans="5:9">
      <c r="E677" s="15">
        <v>44370</v>
      </c>
      <c r="F677">
        <v>15686.95</v>
      </c>
      <c r="G677">
        <v>1503.15</v>
      </c>
      <c r="H677" s="1">
        <f t="shared" si="10"/>
        <v>-5.4397616141762528E-3</v>
      </c>
      <c r="I677" s="1">
        <f t="shared" si="11"/>
        <v>-5.7545391407876068E-3</v>
      </c>
    </row>
    <row r="678" spans="5:9">
      <c r="E678" s="15">
        <v>44371</v>
      </c>
      <c r="F678">
        <v>15790.45</v>
      </c>
      <c r="G678">
        <v>1559.2</v>
      </c>
      <c r="H678" s="1">
        <f t="shared" si="10"/>
        <v>6.5978408804769906E-3</v>
      </c>
      <c r="I678" s="1">
        <f t="shared" si="11"/>
        <v>3.7288361108339219E-2</v>
      </c>
    </row>
    <row r="679" spans="5:9">
      <c r="E679" s="15">
        <v>44372</v>
      </c>
      <c r="F679">
        <v>15860.35</v>
      </c>
      <c r="G679">
        <v>1574.2</v>
      </c>
      <c r="H679" s="1">
        <f t="shared" si="10"/>
        <v>4.4267262807582419E-3</v>
      </c>
      <c r="I679" s="1">
        <f t="shared" si="11"/>
        <v>9.6203181118521552E-3</v>
      </c>
    </row>
    <row r="680" spans="5:9">
      <c r="E680" s="15">
        <v>44375</v>
      </c>
      <c r="F680">
        <v>15814.7</v>
      </c>
      <c r="G680">
        <v>1571.8</v>
      </c>
      <c r="H680" s="1">
        <f t="shared" si="10"/>
        <v>-2.8782466969518028E-3</v>
      </c>
      <c r="I680" s="1">
        <f t="shared" si="11"/>
        <v>-1.524583915639699E-3</v>
      </c>
    </row>
    <row r="681" spans="5:9">
      <c r="E681" s="15">
        <v>44376</v>
      </c>
      <c r="F681">
        <v>15748.45</v>
      </c>
      <c r="G681">
        <v>1563.05</v>
      </c>
      <c r="H681" s="1">
        <f t="shared" si="10"/>
        <v>-4.1891404832212764E-3</v>
      </c>
      <c r="I681" s="1">
        <f t="shared" si="11"/>
        <v>-5.5668660134877701E-3</v>
      </c>
    </row>
    <row r="682" spans="5:9">
      <c r="E682" s="15">
        <v>44377</v>
      </c>
      <c r="F682">
        <v>15721.5</v>
      </c>
      <c r="G682">
        <v>1580.8</v>
      </c>
      <c r="H682" s="1">
        <f t="shared" si="10"/>
        <v>-1.7112795227467448E-3</v>
      </c>
      <c r="I682" s="1">
        <f t="shared" si="11"/>
        <v>1.1356002687054056E-2</v>
      </c>
    </row>
    <row r="683" spans="5:9">
      <c r="E683" s="15">
        <v>44378</v>
      </c>
      <c r="F683">
        <v>15680</v>
      </c>
      <c r="G683">
        <v>1560.4</v>
      </c>
      <c r="H683" s="1">
        <f t="shared" si="10"/>
        <v>-2.639697229908089E-3</v>
      </c>
      <c r="I683" s="1">
        <f t="shared" si="11"/>
        <v>-1.290485829959509E-2</v>
      </c>
    </row>
    <row r="684" spans="5:9">
      <c r="E684" s="15">
        <v>44379</v>
      </c>
      <c r="F684">
        <v>15722.2</v>
      </c>
      <c r="G684">
        <v>1567.8</v>
      </c>
      <c r="H684" s="1">
        <f t="shared" si="10"/>
        <v>2.6913265306123257E-3</v>
      </c>
      <c r="I684" s="1">
        <f t="shared" si="11"/>
        <v>4.7423737503202723E-3</v>
      </c>
    </row>
    <row r="685" spans="5:9">
      <c r="E685" s="15">
        <v>44382</v>
      </c>
      <c r="F685">
        <v>15834.35</v>
      </c>
      <c r="G685">
        <v>1578.95</v>
      </c>
      <c r="H685" s="1">
        <f t="shared" si="10"/>
        <v>7.1332256300009611E-3</v>
      </c>
      <c r="I685" s="1">
        <f t="shared" si="11"/>
        <v>7.1118765148616703E-3</v>
      </c>
    </row>
    <row r="686" spans="5:9">
      <c r="E686" s="15">
        <v>44383</v>
      </c>
      <c r="F686">
        <v>15818.25</v>
      </c>
      <c r="G686">
        <v>1562.2</v>
      </c>
      <c r="H686" s="1">
        <f t="shared" si="10"/>
        <v>-1.0167768174885738E-3</v>
      </c>
      <c r="I686" s="1">
        <f t="shared" si="11"/>
        <v>-1.0608315652807287E-2</v>
      </c>
    </row>
    <row r="687" spans="5:9">
      <c r="E687" s="15">
        <v>44384</v>
      </c>
      <c r="F687">
        <v>15879.65</v>
      </c>
      <c r="G687">
        <v>1564.6</v>
      </c>
      <c r="H687" s="1">
        <f t="shared" si="10"/>
        <v>3.8815924644002298E-3</v>
      </c>
      <c r="I687" s="1">
        <f t="shared" si="11"/>
        <v>1.5362949686339444E-3</v>
      </c>
    </row>
    <row r="688" spans="5:9">
      <c r="E688" s="15">
        <v>44385</v>
      </c>
      <c r="F688">
        <v>15727.9</v>
      </c>
      <c r="G688">
        <v>1560.75</v>
      </c>
      <c r="H688" s="1">
        <f t="shared" si="10"/>
        <v>-9.5562559628203925E-3</v>
      </c>
      <c r="I688" s="1">
        <f t="shared" si="11"/>
        <v>-2.4606928288379848E-3</v>
      </c>
    </row>
    <row r="689" spans="5:9">
      <c r="E689" s="15">
        <v>44386</v>
      </c>
      <c r="F689">
        <v>15689.8</v>
      </c>
      <c r="G689">
        <v>1562.9</v>
      </c>
      <c r="H689" s="1">
        <f t="shared" si="10"/>
        <v>-2.4224467347834233E-3</v>
      </c>
      <c r="I689" s="1">
        <f t="shared" si="11"/>
        <v>1.3775428479898544E-3</v>
      </c>
    </row>
    <row r="690" spans="5:9">
      <c r="E690" s="15">
        <v>44389</v>
      </c>
      <c r="F690">
        <v>15692.6</v>
      </c>
      <c r="G690">
        <v>1547.85</v>
      </c>
      <c r="H690" s="1">
        <f t="shared" si="10"/>
        <v>1.7845989113962624E-4</v>
      </c>
      <c r="I690" s="1">
        <f t="shared" si="11"/>
        <v>-9.6295348390813551E-3</v>
      </c>
    </row>
    <row r="691" spans="5:9">
      <c r="E691" s="15">
        <v>44390</v>
      </c>
      <c r="F691">
        <v>15812.35</v>
      </c>
      <c r="G691">
        <v>1544.95</v>
      </c>
      <c r="H691" s="1">
        <f t="shared" si="10"/>
        <v>7.6309853051756971E-3</v>
      </c>
      <c r="I691" s="1">
        <f t="shared" si="11"/>
        <v>-1.873566560067097E-3</v>
      </c>
    </row>
    <row r="692" spans="5:9">
      <c r="E692" s="15">
        <v>44391</v>
      </c>
      <c r="F692">
        <v>15853.95</v>
      </c>
      <c r="G692">
        <v>1576.9</v>
      </c>
      <c r="H692" s="1">
        <f t="shared" si="10"/>
        <v>2.6308549962530403E-3</v>
      </c>
      <c r="I692" s="1">
        <f t="shared" si="11"/>
        <v>2.068028091523999E-2</v>
      </c>
    </row>
    <row r="693" spans="5:9">
      <c r="E693" s="15">
        <v>44392</v>
      </c>
      <c r="F693">
        <v>15924.2</v>
      </c>
      <c r="G693">
        <v>1580.8</v>
      </c>
      <c r="H693" s="1">
        <f t="shared" si="10"/>
        <v>4.4310723825924381E-3</v>
      </c>
      <c r="I693" s="1">
        <f t="shared" si="11"/>
        <v>2.4732069249793209E-3</v>
      </c>
    </row>
    <row r="694" spans="5:9">
      <c r="E694" s="15">
        <v>44393</v>
      </c>
      <c r="F694">
        <v>15923.4</v>
      </c>
      <c r="G694">
        <v>1555.45</v>
      </c>
      <c r="H694" s="1">
        <f t="shared" ref="H694:H748" si="12">F694/F693-1</f>
        <v>-5.023800253711741E-5</v>
      </c>
      <c r="I694" s="1">
        <f t="shared" ref="I694:I748" si="13">G694/G693-1</f>
        <v>-1.6036184210526216E-2</v>
      </c>
    </row>
    <row r="695" spans="5:9">
      <c r="E695" s="15">
        <v>44396</v>
      </c>
      <c r="F695">
        <v>15752.4</v>
      </c>
      <c r="G695">
        <v>1541.7</v>
      </c>
      <c r="H695" s="1">
        <f t="shared" si="12"/>
        <v>-1.0738912543803436E-2</v>
      </c>
      <c r="I695" s="1">
        <f t="shared" si="13"/>
        <v>-8.839885563663219E-3</v>
      </c>
    </row>
    <row r="696" spans="5:9">
      <c r="E696" s="15">
        <v>44397</v>
      </c>
      <c r="F696">
        <v>15632.1</v>
      </c>
      <c r="G696">
        <v>1550.05</v>
      </c>
      <c r="H696" s="1">
        <f t="shared" si="12"/>
        <v>-7.6369315151976203E-3</v>
      </c>
      <c r="I696" s="1">
        <f t="shared" si="13"/>
        <v>5.4160991113705315E-3</v>
      </c>
    </row>
    <row r="697" spans="5:9">
      <c r="E697" s="15">
        <v>44399</v>
      </c>
      <c r="F697">
        <v>15824.05</v>
      </c>
      <c r="G697">
        <v>1590.2</v>
      </c>
      <c r="H697" s="1">
        <f t="shared" si="12"/>
        <v>1.2279220322285456E-2</v>
      </c>
      <c r="I697" s="1">
        <f t="shared" si="13"/>
        <v>2.5902390245476026E-2</v>
      </c>
    </row>
    <row r="698" spans="5:9">
      <c r="E698" s="15">
        <v>44400</v>
      </c>
      <c r="F698">
        <v>15856.05</v>
      </c>
      <c r="G698">
        <v>1590.45</v>
      </c>
      <c r="H698" s="1">
        <f t="shared" si="12"/>
        <v>2.022238301825352E-3</v>
      </c>
      <c r="I698" s="1">
        <f t="shared" si="13"/>
        <v>1.5721292919135266E-4</v>
      </c>
    </row>
    <row r="699" spans="5:9">
      <c r="E699" s="15">
        <v>44403</v>
      </c>
      <c r="F699">
        <v>15824.45</v>
      </c>
      <c r="G699">
        <v>1603.9</v>
      </c>
      <c r="H699" s="1">
        <f t="shared" si="12"/>
        <v>-1.9929301433836422E-3</v>
      </c>
      <c r="I699" s="1">
        <f t="shared" si="13"/>
        <v>8.4567260838128711E-3</v>
      </c>
    </row>
    <row r="700" spans="5:9">
      <c r="E700" s="15">
        <v>44404</v>
      </c>
      <c r="F700">
        <v>15746.45</v>
      </c>
      <c r="G700">
        <v>1602.55</v>
      </c>
      <c r="H700" s="1">
        <f t="shared" si="12"/>
        <v>-4.929081263487789E-3</v>
      </c>
      <c r="I700" s="1">
        <f t="shared" si="13"/>
        <v>-8.4169836024694522E-4</v>
      </c>
    </row>
    <row r="701" spans="5:9">
      <c r="E701" s="15">
        <v>44405</v>
      </c>
      <c r="F701">
        <v>15709.4</v>
      </c>
      <c r="G701">
        <v>1605.6</v>
      </c>
      <c r="H701" s="1">
        <f t="shared" si="12"/>
        <v>-2.3529112911164773E-3</v>
      </c>
      <c r="I701" s="1">
        <f t="shared" si="13"/>
        <v>1.9032167483072904E-3</v>
      </c>
    </row>
    <row r="702" spans="5:9">
      <c r="E702" s="15">
        <v>44406</v>
      </c>
      <c r="F702">
        <v>15778.45</v>
      </c>
      <c r="G702">
        <v>1617</v>
      </c>
      <c r="H702" s="1">
        <f t="shared" si="12"/>
        <v>4.3954574967854931E-3</v>
      </c>
      <c r="I702" s="1">
        <f t="shared" si="13"/>
        <v>7.1001494768312412E-3</v>
      </c>
    </row>
    <row r="703" spans="5:9">
      <c r="E703" s="15">
        <v>44407</v>
      </c>
      <c r="F703">
        <v>15763.05</v>
      </c>
      <c r="G703">
        <v>1610.5</v>
      </c>
      <c r="H703" s="1">
        <f t="shared" si="12"/>
        <v>-9.7601475430109108E-4</v>
      </c>
      <c r="I703" s="1">
        <f t="shared" si="13"/>
        <v>-4.0197897340754629E-3</v>
      </c>
    </row>
    <row r="704" spans="5:9">
      <c r="E704" s="15">
        <v>44410</v>
      </c>
      <c r="F704">
        <v>15885.15</v>
      </c>
      <c r="G704">
        <v>1631.55</v>
      </c>
      <c r="H704" s="1">
        <f t="shared" si="12"/>
        <v>7.7459628688609783E-3</v>
      </c>
      <c r="I704" s="1">
        <f t="shared" si="13"/>
        <v>1.3070475007761484E-2</v>
      </c>
    </row>
    <row r="705" spans="5:9">
      <c r="E705" s="15">
        <v>44411</v>
      </c>
      <c r="F705">
        <v>16130.75</v>
      </c>
      <c r="G705">
        <v>1655.2</v>
      </c>
      <c r="H705" s="1">
        <f t="shared" si="12"/>
        <v>1.5460980853186701E-2</v>
      </c>
      <c r="I705" s="1">
        <f t="shared" si="13"/>
        <v>1.4495418467101784E-2</v>
      </c>
    </row>
    <row r="706" spans="5:9">
      <c r="E706" s="15">
        <v>44412</v>
      </c>
      <c r="F706">
        <v>16258.8</v>
      </c>
      <c r="G706">
        <v>1649.25</v>
      </c>
      <c r="H706" s="1">
        <f t="shared" si="12"/>
        <v>7.9382545758877043E-3</v>
      </c>
      <c r="I706" s="1">
        <f t="shared" si="13"/>
        <v>-3.5947317544707813E-3</v>
      </c>
    </row>
    <row r="707" spans="5:9">
      <c r="E707" s="15">
        <v>44413</v>
      </c>
      <c r="F707">
        <v>16294.6</v>
      </c>
      <c r="G707">
        <v>1653.55</v>
      </c>
      <c r="H707" s="1">
        <f t="shared" si="12"/>
        <v>2.201884517922581E-3</v>
      </c>
      <c r="I707" s="1">
        <f t="shared" si="13"/>
        <v>2.6072457177503949E-3</v>
      </c>
    </row>
    <row r="708" spans="5:9">
      <c r="E708" s="15">
        <v>44414</v>
      </c>
      <c r="F708">
        <v>16238.2</v>
      </c>
      <c r="G708">
        <v>1650.2</v>
      </c>
      <c r="H708" s="1">
        <f t="shared" si="12"/>
        <v>-3.4612693775851744E-3</v>
      </c>
      <c r="I708" s="1">
        <f t="shared" si="13"/>
        <v>-2.0259441807021217E-3</v>
      </c>
    </row>
    <row r="709" spans="5:9">
      <c r="E709" s="15">
        <v>44417</v>
      </c>
      <c r="F709">
        <v>16258.25</v>
      </c>
      <c r="G709">
        <v>1663.3</v>
      </c>
      <c r="H709" s="1">
        <f t="shared" si="12"/>
        <v>1.2347427670553746E-3</v>
      </c>
      <c r="I709" s="1">
        <f t="shared" si="13"/>
        <v>7.9384317052477726E-3</v>
      </c>
    </row>
    <row r="710" spans="5:9">
      <c r="E710" s="15">
        <v>44418</v>
      </c>
      <c r="F710">
        <v>16280.1</v>
      </c>
      <c r="G710">
        <v>1677.25</v>
      </c>
      <c r="H710" s="1">
        <f t="shared" si="12"/>
        <v>1.3439330801285898E-3</v>
      </c>
      <c r="I710" s="1">
        <f t="shared" si="13"/>
        <v>8.386941622076538E-3</v>
      </c>
    </row>
    <row r="711" spans="5:9">
      <c r="E711" s="15">
        <v>44419</v>
      </c>
      <c r="F711">
        <v>16282.25</v>
      </c>
      <c r="G711">
        <v>1677.55</v>
      </c>
      <c r="H711" s="1">
        <f t="shared" si="12"/>
        <v>1.3206307086566227E-4</v>
      </c>
      <c r="I711" s="1">
        <f t="shared" si="13"/>
        <v>1.788642122522166E-4</v>
      </c>
    </row>
    <row r="712" spans="5:9">
      <c r="E712" s="15">
        <v>44420</v>
      </c>
      <c r="F712">
        <v>16364.4</v>
      </c>
      <c r="G712">
        <v>1689.6</v>
      </c>
      <c r="H712" s="1">
        <f t="shared" si="12"/>
        <v>5.0453714934974858E-3</v>
      </c>
      <c r="I712" s="1">
        <f t="shared" si="13"/>
        <v>7.1830943936097569E-3</v>
      </c>
    </row>
    <row r="713" spans="5:9">
      <c r="E713" s="15">
        <v>44421</v>
      </c>
      <c r="F713">
        <v>16529.099999999999</v>
      </c>
      <c r="G713">
        <v>1712.2</v>
      </c>
      <c r="H713" s="1">
        <f t="shared" si="12"/>
        <v>1.006453032191823E-2</v>
      </c>
      <c r="I713" s="1">
        <f t="shared" si="13"/>
        <v>1.3375946969697017E-2</v>
      </c>
    </row>
    <row r="714" spans="5:9">
      <c r="E714" s="15">
        <v>44424</v>
      </c>
      <c r="F714">
        <v>16563.05</v>
      </c>
      <c r="G714">
        <v>1704.4</v>
      </c>
      <c r="H714" s="1">
        <f t="shared" si="12"/>
        <v>2.0539533307923907E-3</v>
      </c>
      <c r="I714" s="1">
        <f t="shared" si="13"/>
        <v>-4.5555425768017965E-3</v>
      </c>
    </row>
    <row r="715" spans="5:9">
      <c r="E715" s="15">
        <v>44425</v>
      </c>
      <c r="F715">
        <v>16614.599999999999</v>
      </c>
      <c r="G715">
        <v>1741.65</v>
      </c>
      <c r="H715" s="1">
        <f t="shared" si="12"/>
        <v>3.1123494766964743E-3</v>
      </c>
      <c r="I715" s="1">
        <f t="shared" si="13"/>
        <v>2.185519831025573E-2</v>
      </c>
    </row>
    <row r="716" spans="5:9">
      <c r="E716" s="15">
        <v>44426</v>
      </c>
      <c r="F716">
        <v>16568.849999999999</v>
      </c>
      <c r="G716">
        <v>1733.45</v>
      </c>
      <c r="H716" s="1">
        <f t="shared" si="12"/>
        <v>-2.7536022534397908E-3</v>
      </c>
      <c r="I716" s="1">
        <f t="shared" si="13"/>
        <v>-4.708179025636583E-3</v>
      </c>
    </row>
    <row r="717" spans="5:9">
      <c r="E717" s="15">
        <v>44428</v>
      </c>
      <c r="F717">
        <v>16450.5</v>
      </c>
      <c r="G717">
        <v>1732.95</v>
      </c>
      <c r="H717" s="1">
        <f t="shared" si="12"/>
        <v>-7.1429218080916179E-3</v>
      </c>
      <c r="I717" s="1">
        <f t="shared" si="13"/>
        <v>-2.8844212408785097E-4</v>
      </c>
    </row>
    <row r="718" spans="5:9">
      <c r="E718" s="15">
        <v>44431</v>
      </c>
      <c r="F718">
        <v>16496.45</v>
      </c>
      <c r="G718">
        <v>1738.75</v>
      </c>
      <c r="H718" s="1">
        <f t="shared" si="12"/>
        <v>2.7932281693565653E-3</v>
      </c>
      <c r="I718" s="1">
        <f t="shared" si="13"/>
        <v>3.3468940246399459E-3</v>
      </c>
    </row>
    <row r="719" spans="5:9">
      <c r="E719" s="15">
        <v>44432</v>
      </c>
      <c r="F719">
        <v>16624.599999999999</v>
      </c>
      <c r="G719">
        <v>1720.85</v>
      </c>
      <c r="H719" s="1">
        <f t="shared" si="12"/>
        <v>7.7683380363653409E-3</v>
      </c>
      <c r="I719" s="1">
        <f t="shared" si="13"/>
        <v>-1.0294751976995031E-2</v>
      </c>
    </row>
    <row r="720" spans="5:9">
      <c r="E720" s="15">
        <v>44433</v>
      </c>
      <c r="F720">
        <v>16634.650000000001</v>
      </c>
      <c r="G720">
        <v>1735.55</v>
      </c>
      <c r="H720" s="1">
        <f t="shared" si="12"/>
        <v>6.0452582317793713E-4</v>
      </c>
      <c r="I720" s="1">
        <f t="shared" si="13"/>
        <v>8.5422901473108936E-3</v>
      </c>
    </row>
    <row r="721" spans="5:9">
      <c r="E721" s="15">
        <v>44434</v>
      </c>
      <c r="F721">
        <v>16636.900000000001</v>
      </c>
      <c r="G721">
        <v>1727.7</v>
      </c>
      <c r="H721" s="1">
        <f t="shared" si="12"/>
        <v>1.3525983414131026E-4</v>
      </c>
      <c r="I721" s="1">
        <f t="shared" si="13"/>
        <v>-4.5230618535910816E-3</v>
      </c>
    </row>
    <row r="722" spans="5:9">
      <c r="E722" s="15">
        <v>44435</v>
      </c>
      <c r="F722">
        <v>16705.2</v>
      </c>
      <c r="G722">
        <v>1708.8</v>
      </c>
      <c r="H722" s="1">
        <f t="shared" si="12"/>
        <v>4.1053321231718787E-3</v>
      </c>
      <c r="I722" s="1">
        <f t="shared" si="13"/>
        <v>-1.0939399201250311E-2</v>
      </c>
    </row>
    <row r="723" spans="5:9">
      <c r="E723" s="15">
        <v>44438</v>
      </c>
      <c r="F723">
        <v>16931.05</v>
      </c>
      <c r="G723">
        <v>1698.05</v>
      </c>
      <c r="H723" s="1">
        <f t="shared" si="12"/>
        <v>1.3519742355673658E-2</v>
      </c>
      <c r="I723" s="1">
        <f t="shared" si="13"/>
        <v>-6.2909644194756309E-3</v>
      </c>
    </row>
    <row r="724" spans="5:9">
      <c r="E724" s="15">
        <v>44439</v>
      </c>
      <c r="F724">
        <v>17132.2</v>
      </c>
      <c r="G724">
        <v>1706.45</v>
      </c>
      <c r="H724" s="1">
        <f t="shared" si="12"/>
        <v>1.1880539009689439E-2</v>
      </c>
      <c r="I724" s="1">
        <f t="shared" si="13"/>
        <v>4.9468507994465671E-3</v>
      </c>
    </row>
    <row r="725" spans="5:9">
      <c r="E725" s="15">
        <v>44440</v>
      </c>
      <c r="F725">
        <v>17076.25</v>
      </c>
      <c r="G725">
        <v>1677.75</v>
      </c>
      <c r="H725" s="1">
        <f t="shared" si="12"/>
        <v>-3.2657802267076486E-3</v>
      </c>
      <c r="I725" s="1">
        <f t="shared" si="13"/>
        <v>-1.6818541416390831E-2</v>
      </c>
    </row>
    <row r="726" spans="5:9">
      <c r="E726" s="15">
        <v>44441</v>
      </c>
      <c r="F726">
        <v>17234.150000000001</v>
      </c>
      <c r="G726">
        <v>1689.1</v>
      </c>
      <c r="H726" s="1">
        <f t="shared" si="12"/>
        <v>9.2467608520607758E-3</v>
      </c>
      <c r="I726" s="1">
        <f t="shared" si="13"/>
        <v>6.7650126657725629E-3</v>
      </c>
    </row>
    <row r="727" spans="5:9">
      <c r="E727" s="15">
        <v>44442</v>
      </c>
      <c r="F727">
        <v>17323.599999999999</v>
      </c>
      <c r="G727">
        <v>1700.65</v>
      </c>
      <c r="H727" s="1">
        <f t="shared" si="12"/>
        <v>5.1902762828452964E-3</v>
      </c>
      <c r="I727" s="1">
        <f t="shared" si="13"/>
        <v>6.8379610443431993E-3</v>
      </c>
    </row>
    <row r="728" spans="5:9">
      <c r="E728" s="15">
        <v>44445</v>
      </c>
      <c r="F728">
        <v>17377.8</v>
      </c>
      <c r="G728">
        <v>1730.4</v>
      </c>
      <c r="H728" s="1">
        <f t="shared" si="12"/>
        <v>3.1286799510494845E-3</v>
      </c>
      <c r="I728" s="1">
        <f t="shared" si="13"/>
        <v>1.7493311380942567E-2</v>
      </c>
    </row>
    <row r="729" spans="5:9">
      <c r="E729" s="15">
        <v>44446</v>
      </c>
      <c r="F729">
        <v>17362.099999999999</v>
      </c>
      <c r="G729">
        <v>1706.65</v>
      </c>
      <c r="H729" s="1">
        <f t="shared" si="12"/>
        <v>-9.0345153011317514E-4</v>
      </c>
      <c r="I729" s="1">
        <f t="shared" si="13"/>
        <v>-1.3725150254276453E-2</v>
      </c>
    </row>
    <row r="730" spans="5:9">
      <c r="E730" s="15">
        <v>44447</v>
      </c>
      <c r="F730">
        <v>17353.5</v>
      </c>
      <c r="G730">
        <v>1693.25</v>
      </c>
      <c r="H730" s="1">
        <f t="shared" si="12"/>
        <v>-4.9533178590144278E-4</v>
      </c>
      <c r="I730" s="1">
        <f t="shared" si="13"/>
        <v>-7.8516391761638271E-3</v>
      </c>
    </row>
    <row r="731" spans="5:9">
      <c r="E731" s="15">
        <v>44448</v>
      </c>
      <c r="F731">
        <v>17369.25</v>
      </c>
      <c r="G731">
        <v>1691.6</v>
      </c>
      <c r="H731" s="1">
        <f t="shared" si="12"/>
        <v>9.0759789091543475E-4</v>
      </c>
      <c r="I731" s="1">
        <f t="shared" si="13"/>
        <v>-9.7445740439983108E-4</v>
      </c>
    </row>
    <row r="732" spans="5:9">
      <c r="E732" s="15">
        <v>44452</v>
      </c>
      <c r="F732">
        <v>17355.3</v>
      </c>
      <c r="G732">
        <v>1691.9</v>
      </c>
      <c r="H732" s="1">
        <f t="shared" si="12"/>
        <v>-8.0314348633370169E-4</v>
      </c>
      <c r="I732" s="1">
        <f t="shared" si="13"/>
        <v>1.7734689051795982E-4</v>
      </c>
    </row>
    <row r="733" spans="5:9">
      <c r="E733" s="15">
        <v>44453</v>
      </c>
      <c r="F733">
        <v>17380</v>
      </c>
      <c r="G733">
        <v>1686.15</v>
      </c>
      <c r="H733" s="1">
        <f t="shared" si="12"/>
        <v>1.4231963722897145E-3</v>
      </c>
      <c r="I733" s="1">
        <f t="shared" si="13"/>
        <v>-3.3985460133577616E-3</v>
      </c>
    </row>
    <row r="734" spans="5:9">
      <c r="E734" s="15">
        <v>44454</v>
      </c>
      <c r="F734">
        <v>17519.45</v>
      </c>
      <c r="G734">
        <v>1711.45</v>
      </c>
      <c r="H734" s="1">
        <f t="shared" si="12"/>
        <v>8.0235903337169123E-3</v>
      </c>
      <c r="I734" s="1">
        <f t="shared" si="13"/>
        <v>1.500459626960815E-2</v>
      </c>
    </row>
    <row r="735" spans="5:9">
      <c r="E735" s="15">
        <v>44455</v>
      </c>
      <c r="F735">
        <v>17629.5</v>
      </c>
      <c r="G735">
        <v>1702.25</v>
      </c>
      <c r="H735" s="1">
        <f t="shared" si="12"/>
        <v>6.2815898900936418E-3</v>
      </c>
      <c r="I735" s="1">
        <f t="shared" si="13"/>
        <v>-5.3755587367436686E-3</v>
      </c>
    </row>
    <row r="736" spans="5:9">
      <c r="E736" s="15">
        <v>44456</v>
      </c>
      <c r="F736">
        <v>17585.150000000001</v>
      </c>
      <c r="G736">
        <v>1691.3</v>
      </c>
      <c r="H736" s="1">
        <f t="shared" si="12"/>
        <v>-2.5156697580758225E-3</v>
      </c>
      <c r="I736" s="1">
        <f t="shared" si="13"/>
        <v>-6.4326626523718566E-3</v>
      </c>
    </row>
    <row r="737" spans="5:9">
      <c r="E737" s="15">
        <v>44459</v>
      </c>
      <c r="F737">
        <v>17396.900000000001</v>
      </c>
      <c r="G737">
        <v>1687.85</v>
      </c>
      <c r="H737" s="1">
        <f t="shared" si="12"/>
        <v>-1.0705055117528173E-2</v>
      </c>
      <c r="I737" s="1">
        <f t="shared" si="13"/>
        <v>-2.0398510021877314E-3</v>
      </c>
    </row>
    <row r="738" spans="5:9">
      <c r="E738" s="15">
        <v>44460</v>
      </c>
      <c r="F738">
        <v>17562</v>
      </c>
      <c r="G738">
        <v>1718.45</v>
      </c>
      <c r="H738" s="1">
        <f t="shared" si="12"/>
        <v>9.4901965292666368E-3</v>
      </c>
      <c r="I738" s="1">
        <f t="shared" si="13"/>
        <v>1.812957312557395E-2</v>
      </c>
    </row>
    <row r="739" spans="5:9">
      <c r="E739" s="15">
        <v>44461</v>
      </c>
      <c r="F739">
        <v>17546.650000000001</v>
      </c>
      <c r="G739">
        <v>1716.9</v>
      </c>
      <c r="H739" s="1">
        <f t="shared" si="12"/>
        <v>-8.7404623619169453E-4</v>
      </c>
      <c r="I739" s="1">
        <f t="shared" si="13"/>
        <v>-9.0197561756233391E-4</v>
      </c>
    </row>
    <row r="740" spans="5:9">
      <c r="E740" s="15">
        <v>44462</v>
      </c>
      <c r="F740">
        <v>17822.95</v>
      </c>
      <c r="G740">
        <v>1742.55</v>
      </c>
      <c r="H740" s="1">
        <f t="shared" si="12"/>
        <v>1.574659550398505E-2</v>
      </c>
      <c r="I740" s="1">
        <f t="shared" si="13"/>
        <v>1.493971693167917E-2</v>
      </c>
    </row>
    <row r="741" spans="5:9">
      <c r="E741" s="15">
        <v>44463</v>
      </c>
      <c r="F741">
        <v>17853.2</v>
      </c>
      <c r="G741">
        <v>1763.85</v>
      </c>
      <c r="H741" s="1">
        <f t="shared" si="12"/>
        <v>1.6972498940972525E-3</v>
      </c>
      <c r="I741" s="1">
        <f t="shared" si="13"/>
        <v>1.2223465610742945E-2</v>
      </c>
    </row>
    <row r="742" spans="5:9">
      <c r="E742" s="15">
        <v>44466</v>
      </c>
      <c r="F742">
        <v>17855.099999999999</v>
      </c>
      <c r="G742">
        <v>1721.15</v>
      </c>
      <c r="H742" s="1">
        <f t="shared" si="12"/>
        <v>1.0642349830836118E-4</v>
      </c>
      <c r="I742" s="1">
        <f t="shared" si="13"/>
        <v>-2.4208407744422566E-2</v>
      </c>
    </row>
    <row r="743" spans="5:9">
      <c r="E743" s="15">
        <v>44467</v>
      </c>
      <c r="F743">
        <v>17748.599999999999</v>
      </c>
      <c r="G743">
        <v>1687.1</v>
      </c>
      <c r="H743" s="1">
        <f t="shared" si="12"/>
        <v>-5.9646823596619658E-3</v>
      </c>
      <c r="I743" s="1">
        <f t="shared" si="13"/>
        <v>-1.9783284431920678E-2</v>
      </c>
    </row>
    <row r="744" spans="5:9">
      <c r="E744" s="15">
        <v>44468</v>
      </c>
      <c r="F744">
        <v>17711.3</v>
      </c>
      <c r="G744">
        <v>1692.25</v>
      </c>
      <c r="H744" s="1">
        <f t="shared" si="12"/>
        <v>-2.1015742086699651E-3</v>
      </c>
      <c r="I744" s="1">
        <f t="shared" si="13"/>
        <v>3.0525754252861415E-3</v>
      </c>
    </row>
    <row r="745" spans="5:9">
      <c r="E745" s="15">
        <v>44469</v>
      </c>
      <c r="F745">
        <v>17618.150000000001</v>
      </c>
      <c r="G745">
        <v>1675.2</v>
      </c>
      <c r="H745" s="1">
        <f t="shared" si="12"/>
        <v>-5.2593541976024838E-3</v>
      </c>
      <c r="I745" s="1">
        <f t="shared" si="13"/>
        <v>-1.0075343477618515E-2</v>
      </c>
    </row>
    <row r="746" spans="5:9">
      <c r="E746" s="15">
        <v>44470</v>
      </c>
      <c r="F746">
        <v>17532.05</v>
      </c>
      <c r="G746">
        <v>1665.15</v>
      </c>
      <c r="H746" s="1">
        <f t="shared" si="12"/>
        <v>-4.8870057298866509E-3</v>
      </c>
      <c r="I746" s="1">
        <f t="shared" si="13"/>
        <v>-5.9992836676217021E-3</v>
      </c>
    </row>
    <row r="747" spans="5:9">
      <c r="E747" s="15">
        <v>44473</v>
      </c>
      <c r="F747">
        <v>17691.25</v>
      </c>
      <c r="G747">
        <v>1678.75</v>
      </c>
      <c r="H747" s="1">
        <f t="shared" si="12"/>
        <v>9.0805125470210246E-3</v>
      </c>
      <c r="I747" s="1">
        <f t="shared" si="13"/>
        <v>8.1674323634506329E-3</v>
      </c>
    </row>
    <row r="748" spans="5:9">
      <c r="E748" s="15">
        <v>44474</v>
      </c>
      <c r="F748">
        <v>17822.3</v>
      </c>
      <c r="G748">
        <v>1692.8</v>
      </c>
      <c r="H748" s="1">
        <f t="shared" si="12"/>
        <v>7.4076167596974773E-3</v>
      </c>
      <c r="I748" s="1">
        <f t="shared" si="13"/>
        <v>8.3693224125092058E-3</v>
      </c>
    </row>
    <row r="753" spans="9:9">
      <c r="I753" s="1" t="s">
        <v>321</v>
      </c>
    </row>
    <row r="754" spans="9:9">
      <c r="I754" s="1" t="s">
        <v>322</v>
      </c>
    </row>
    <row r="755" spans="9:9">
      <c r="I755" s="1" t="s">
        <v>323</v>
      </c>
    </row>
    <row r="756" spans="9:9">
      <c r="I756" s="1" t="s">
        <v>324</v>
      </c>
    </row>
  </sheetData>
  <mergeCells count="4">
    <mergeCell ref="H98:P98"/>
    <mergeCell ref="G247:O247"/>
    <mergeCell ref="G295:P295"/>
    <mergeCell ref="G441:P441"/>
  </mergeCells>
  <conditionalFormatting sqref="P167:P17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Arora</dc:creator>
  <cp:lastModifiedBy>dell</cp:lastModifiedBy>
  <dcterms:created xsi:type="dcterms:W3CDTF">2021-09-27T13:35:11Z</dcterms:created>
  <dcterms:modified xsi:type="dcterms:W3CDTF">2021-11-08T12:19:07Z</dcterms:modified>
</cp:coreProperties>
</file>