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15E2B2F0-C11E-4243-A5C1-920A747DAD0E}" xr6:coauthVersionLast="36" xr6:coauthVersionMax="36" xr10:uidLastSave="{00000000-0000-0000-0000-000000000000}"/>
  <bookViews>
    <workbookView xWindow="0" yWindow="0" windowWidth="24000" windowHeight="9525" activeTab="1" xr2:uid="{AF7B4F81-1847-2E42-AB5B-8D9734A1CF86}"/>
  </bookViews>
  <sheets>
    <sheet name="Returns" sheetId="2" r:id="rId1"/>
    <sheet name="Risk" sheetId="1" r:id="rId2"/>
    <sheet name="TVM" sheetId="3" r:id="rId3"/>
  </sheets>
  <definedNames>
    <definedName name="_xlnm.Print_Titles" localSheetId="2">TVM!$1:$4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0" i="1"/>
  <c r="L16" i="1"/>
  <c r="H4" i="1" s="1"/>
  <c r="I4" i="1" s="1"/>
  <c r="E11" i="3"/>
  <c r="I23" i="2"/>
  <c r="L23" i="2"/>
  <c r="I2" i="2"/>
  <c r="J8" i="2"/>
  <c r="E31" i="3"/>
  <c r="J10" i="2"/>
  <c r="J9" i="2"/>
  <c r="F10" i="2"/>
  <c r="F9" i="2"/>
  <c r="F8" i="2"/>
  <c r="K4" i="2"/>
  <c r="K3" i="2"/>
  <c r="K2" i="2"/>
  <c r="I4" i="2"/>
  <c r="I3" i="2"/>
  <c r="H4" i="2"/>
  <c r="H3" i="2"/>
  <c r="H2" i="2"/>
  <c r="F4" i="2"/>
  <c r="F3" i="2"/>
  <c r="F2" i="2"/>
  <c r="E4" i="1"/>
  <c r="K2" i="1"/>
  <c r="G2" i="1"/>
  <c r="G4" i="1"/>
  <c r="G3" i="1"/>
  <c r="H3" i="1"/>
  <c r="H2" i="1"/>
  <c r="K3" i="1"/>
  <c r="K4" i="1"/>
  <c r="I3" i="1"/>
  <c r="I2" i="1"/>
  <c r="E3" i="1"/>
  <c r="E2" i="1"/>
  <c r="D4" i="1"/>
  <c r="D3" i="1"/>
  <c r="D2" i="1"/>
  <c r="J11" i="1"/>
  <c r="J16" i="1"/>
  <c r="K16" i="1"/>
  <c r="K10" i="1"/>
  <c r="K11" i="1"/>
  <c r="K13" i="1"/>
  <c r="K14" i="1"/>
  <c r="J13" i="1"/>
  <c r="J14" i="1"/>
  <c r="H16" i="1"/>
  <c r="E16" i="1"/>
  <c r="B16" i="1"/>
  <c r="B28" i="1"/>
  <c r="H28" i="1"/>
  <c r="E28" i="1"/>
  <c r="F31" i="3"/>
  <c r="F29" i="3"/>
  <c r="F28" i="3"/>
  <c r="E26" i="3"/>
  <c r="C23" i="3"/>
  <c r="D24" i="3"/>
  <c r="C24" i="3" s="1"/>
  <c r="C21" i="3"/>
  <c r="G19" i="3"/>
  <c r="G18" i="3"/>
  <c r="G17" i="3"/>
  <c r="G16" i="3"/>
  <c r="G13" i="3"/>
  <c r="G14" i="3"/>
  <c r="F11" i="3"/>
  <c r="E8" i="3"/>
  <c r="F9" i="3"/>
  <c r="G7" i="3"/>
  <c r="G5" i="3"/>
  <c r="D31" i="3" l="1"/>
  <c r="D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11" authorId="0" shapeId="0" xr:uid="{A78FA863-38A3-D143-9FAC-AF612822334A}">
      <text>
        <r>
          <rPr>
            <b/>
            <sz val="10"/>
            <color rgb="FF000000"/>
            <rFont val="Tahoma"/>
            <family val="2"/>
          </rPr>
          <t>Milind Kohmaria: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Update: Converted to Nominal rate.</t>
        </r>
      </text>
    </comment>
  </commentList>
</comments>
</file>

<file path=xl/sharedStrings.xml><?xml version="1.0" encoding="utf-8"?>
<sst xmlns="http://schemas.openxmlformats.org/spreadsheetml/2006/main" count="125" uniqueCount="65">
  <si>
    <t>Returns</t>
  </si>
  <si>
    <t>Year</t>
  </si>
  <si>
    <t>Standard Deviation - Fund I</t>
  </si>
  <si>
    <t>Standard Deviation - Fund II</t>
  </si>
  <si>
    <t>Standard Deviation - Fund III</t>
  </si>
  <si>
    <t>Returns - Fund I</t>
  </si>
  <si>
    <t>Returns - Fund II</t>
  </si>
  <si>
    <t>Returns - Fund III</t>
  </si>
  <si>
    <t>NAV</t>
  </si>
  <si>
    <t>Fund 1</t>
  </si>
  <si>
    <t>Fund 2</t>
  </si>
  <si>
    <t>Fund 3</t>
  </si>
  <si>
    <t>Sharpe</t>
  </si>
  <si>
    <t>Fund I</t>
  </si>
  <si>
    <t>Fund II</t>
  </si>
  <si>
    <t>Fund III</t>
  </si>
  <si>
    <t>Sortino</t>
  </si>
  <si>
    <t>Treynor Ratio</t>
  </si>
  <si>
    <t>Real Rate of Returns</t>
  </si>
  <si>
    <t>Post Tax Real Rate</t>
  </si>
  <si>
    <t>Nominal Rate</t>
  </si>
  <si>
    <t>Effective Rate</t>
  </si>
  <si>
    <t>Alpha</t>
  </si>
  <si>
    <t>Sr. No.</t>
  </si>
  <si>
    <t>Target</t>
  </si>
  <si>
    <t>PMT</t>
  </si>
  <si>
    <t>PV</t>
  </si>
  <si>
    <t>Rate</t>
  </si>
  <si>
    <t>Nper</t>
  </si>
  <si>
    <t>FV</t>
  </si>
  <si>
    <t>SD</t>
  </si>
  <si>
    <t>Cash Flow</t>
  </si>
  <si>
    <t>Projected Cash Flow</t>
  </si>
  <si>
    <t xml:space="preserve">Level II - Ratios </t>
  </si>
  <si>
    <t xml:space="preserve">Fixed Deposit 4 </t>
  </si>
  <si>
    <t xml:space="preserve">Fixed Deposit 5 </t>
  </si>
  <si>
    <t xml:space="preserve">Fixed Deposit 6 </t>
  </si>
  <si>
    <t xml:space="preserve">Fixed Deposit 1 </t>
  </si>
  <si>
    <t xml:space="preserve">Fixed Deposit 2 </t>
  </si>
  <si>
    <t xml:space="preserve">Fixed Deposit 3 </t>
  </si>
  <si>
    <t>Tenure</t>
  </si>
  <si>
    <t>Time Value of Money</t>
  </si>
  <si>
    <t>Maturity amount for Fixed Deposit</t>
  </si>
  <si>
    <t>Financial Goal - Buy a Car</t>
  </si>
  <si>
    <t>Monthly investments for accumulating capital for business</t>
  </si>
  <si>
    <t>Type</t>
  </si>
  <si>
    <t>FV for INR 1,000 with Type 0 (10%, 5 Years)</t>
  </si>
  <si>
    <t>FV for INR 1,000 with Type 1 (10%, 5 Years)</t>
  </si>
  <si>
    <t>Future Values</t>
  </si>
  <si>
    <t>PV for INR 40,000</t>
  </si>
  <si>
    <t>Price of the bond</t>
  </si>
  <si>
    <t>Rule of 72</t>
  </si>
  <si>
    <t>Monthly investment for INR 1 Crore</t>
  </si>
  <si>
    <t>Rate (IRR)</t>
  </si>
  <si>
    <t>Rate (XIRR)</t>
  </si>
  <si>
    <t>Standard Deviation</t>
  </si>
  <si>
    <t>Risk Free Rate</t>
  </si>
  <si>
    <t>Downside St. Deviation</t>
  </si>
  <si>
    <t>Beta</t>
  </si>
  <si>
    <t>Downside Deviation</t>
  </si>
  <si>
    <t>Benchmark Returns</t>
  </si>
  <si>
    <t>Post Tax Returns</t>
  </si>
  <si>
    <t>Tax Rate</t>
  </si>
  <si>
    <t>Inflation</t>
  </si>
  <si>
    <t>Compounding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</si>
</sst>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&quot;₹&quot;#,##0_);[Red]\(&quot;₹&quot;#,##0\)"/>
    <numFmt numFmtId="165" formatCode="&quot;₹&quot;#,##0.00_);[Red]\(&quot;₹&quot;#,##0.00\)"/>
    <numFmt numFmtId="166" formatCode="_(* #,##0.000_);_(* \(#,##0.000\);_(* &quot;-&quot;??_);_(@_)"/>
    <numFmt numFmtId="167" formatCode="&quot;₹&quot;#,##0"/>
    <numFmt numFmtId="168" formatCode="0.0000%"/>
    <numFmt numFmtId="169" formatCode="[$$-409]#,##0_);[Red]\([$$-409]#,##0\)"/>
    <numFmt numFmtId="170" formatCode="_(* #,##0_);_(* \(#,##0\);_(* &quot;-&quot;??_);_(@_)"/>
    <numFmt numFmtId="171" formatCode="0.00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A32D1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A32D1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A32D1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vertical="center"/>
    </xf>
    <xf numFmtId="166" fontId="2" fillId="0" borderId="0" xfId="1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2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3" fillId="0" borderId="0" xfId="2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10" fontId="2" fillId="0" borderId="0" xfId="2" applyNumberFormat="1" applyFont="1" applyFill="1" applyAlignment="1">
      <alignment vertical="center"/>
    </xf>
    <xf numFmtId="10" fontId="4" fillId="0" borderId="0" xfId="2" applyNumberFormat="1" applyFont="1" applyFill="1" applyAlignment="1">
      <alignment vertical="center" wrapText="1"/>
    </xf>
    <xf numFmtId="168" fontId="2" fillId="0" borderId="0" xfId="2" applyNumberFormat="1" applyFont="1" applyAlignment="1">
      <alignment vertical="center"/>
    </xf>
    <xf numFmtId="169" fontId="2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8" fillId="0" borderId="0" xfId="2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3" borderId="0" xfId="1" applyNumberFormat="1" applyFont="1" applyFill="1" applyAlignment="1">
      <alignment vertical="center"/>
    </xf>
    <xf numFmtId="10" fontId="2" fillId="3" borderId="0" xfId="2" applyNumberFormat="1" applyFont="1" applyFill="1" applyAlignment="1">
      <alignment vertical="center"/>
    </xf>
    <xf numFmtId="167" fontId="2" fillId="3" borderId="0" xfId="0" applyNumberFormat="1" applyFont="1" applyFill="1" applyAlignment="1">
      <alignment vertical="center"/>
    </xf>
    <xf numFmtId="43" fontId="2" fillId="3" borderId="0" xfId="1" applyFont="1" applyFill="1" applyAlignment="1">
      <alignment vertical="center"/>
    </xf>
    <xf numFmtId="170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horizontal="center" vertical="center"/>
    </xf>
    <xf numFmtId="170" fontId="2" fillId="3" borderId="0" xfId="1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4" borderId="0" xfId="1" applyFont="1" applyFill="1" applyAlignment="1">
      <alignment vertical="center"/>
    </xf>
    <xf numFmtId="10" fontId="2" fillId="4" borderId="0" xfId="2" applyNumberFormat="1" applyFont="1" applyFill="1" applyAlignment="1">
      <alignment vertical="center"/>
    </xf>
    <xf numFmtId="165" fontId="2" fillId="4" borderId="0" xfId="1" applyNumberFormat="1" applyFont="1" applyFill="1" applyAlignment="1">
      <alignment vertical="center"/>
    </xf>
    <xf numFmtId="170" fontId="2" fillId="4" borderId="0" xfId="1" applyNumberFormat="1" applyFont="1" applyFill="1" applyAlignment="1">
      <alignment vertical="center"/>
    </xf>
    <xf numFmtId="164" fontId="2" fillId="4" borderId="0" xfId="1" applyNumberFormat="1" applyFont="1" applyFill="1" applyAlignment="1">
      <alignment vertical="center"/>
    </xf>
    <xf numFmtId="9" fontId="2" fillId="0" borderId="0" xfId="2" applyNumberFormat="1" applyFont="1" applyAlignment="1">
      <alignment vertical="center"/>
    </xf>
    <xf numFmtId="10" fontId="6" fillId="0" borderId="0" xfId="2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10" fontId="7" fillId="0" borderId="0" xfId="2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0" fontId="2" fillId="5" borderId="0" xfId="2" applyNumberFormat="1" applyFont="1" applyFill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32D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6351</xdr:colOff>
      <xdr:row>0</xdr:row>
      <xdr:rowOff>6350</xdr:rowOff>
    </xdr:from>
    <xdr:to>
      <xdr:col>1</xdr:col>
      <xdr:colOff>762001</xdr:colOff>
      <xdr:row>1</xdr:row>
      <xdr:rowOff>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B7B36-AA14-4FB6-B79B-625D96F3C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1" y="6350"/>
          <a:ext cx="1822450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869950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5E6D14-FD1F-4770-92E1-7974BACA5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936750" cy="4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363517</xdr:colOff>
      <xdr:row>0</xdr:row>
      <xdr:rowOff>1</xdr:rowOff>
    </xdr:from>
    <xdr:to>
      <xdr:col>8</xdr:col>
      <xdr:colOff>762000</xdr:colOff>
      <xdr:row>1</xdr:row>
      <xdr:rowOff>292555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4A091F-458D-4010-83A1-7F185D0E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5803" y="1"/>
          <a:ext cx="2548411" cy="605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6FC2-46E0-A248-9546-C452801BE257}">
  <dimension ref="A1:L27"/>
  <sheetViews>
    <sheetView zoomScale="150" zoomScaleNormal="150" workbookViewId="0">
      <selection activeCell="B5" sqref="B5"/>
    </sheetView>
  </sheetViews>
  <sheetFormatPr defaultColWidth="14" defaultRowHeight="24.95" customHeight="1" x14ac:dyDescent="0.25"/>
  <cols>
    <col min="1" max="16384" width="14" style="1"/>
  </cols>
  <sheetData>
    <row r="1" spans="1:12" ht="39.950000000000003" customHeight="1" x14ac:dyDescent="0.25">
      <c r="A1" s="6"/>
      <c r="C1" s="10" t="s">
        <v>33</v>
      </c>
      <c r="D1" s="11" t="s">
        <v>0</v>
      </c>
      <c r="E1" s="11" t="s">
        <v>63</v>
      </c>
      <c r="F1" s="11" t="s">
        <v>18</v>
      </c>
      <c r="G1" s="11" t="s">
        <v>62</v>
      </c>
      <c r="H1" s="11" t="s">
        <v>61</v>
      </c>
      <c r="I1" s="11" t="s">
        <v>19</v>
      </c>
      <c r="J1" s="11" t="s">
        <v>60</v>
      </c>
      <c r="K1" s="11" t="s">
        <v>22</v>
      </c>
    </row>
    <row r="2" spans="1:12" ht="24.95" customHeight="1" x14ac:dyDescent="0.25">
      <c r="A2" s="6"/>
      <c r="C2" s="1" t="s">
        <v>9</v>
      </c>
      <c r="D2" s="29">
        <v>0.15</v>
      </c>
      <c r="E2" s="24">
        <v>7.0000000000000007E-2</v>
      </c>
      <c r="F2" s="42">
        <f>((1+D2)/(1+E2))-1</f>
        <v>7.4766355140186702E-2</v>
      </c>
      <c r="G2" s="24">
        <v>0.1</v>
      </c>
      <c r="H2" s="42">
        <f>D2*(1-G2)</f>
        <v>0.13500000000000001</v>
      </c>
      <c r="I2" s="42">
        <f>(1+H2)/(1+E2)-1</f>
        <v>6.0747663551401709E-2</v>
      </c>
      <c r="J2" s="24">
        <v>0.12</v>
      </c>
      <c r="K2" s="42">
        <f>D2-J2</f>
        <v>0.03</v>
      </c>
    </row>
    <row r="3" spans="1:12" ht="24.95" customHeight="1" x14ac:dyDescent="0.25">
      <c r="A3" s="6"/>
      <c r="C3" s="1" t="s">
        <v>10</v>
      </c>
      <c r="D3" s="29">
        <v>7.0000000000000007E-2</v>
      </c>
      <c r="E3" s="24">
        <v>7.0000000000000007E-2</v>
      </c>
      <c r="F3" s="42">
        <f>((1+D3)/(1+E3))-1</f>
        <v>0</v>
      </c>
      <c r="G3" s="24">
        <v>0.2</v>
      </c>
      <c r="H3" s="42">
        <f>D3*(1-G3)</f>
        <v>5.6000000000000008E-2</v>
      </c>
      <c r="I3" s="73">
        <f>(1+H3)/(1+E3)-1</f>
        <v>-1.3084112149532756E-2</v>
      </c>
      <c r="J3" s="24">
        <v>0.12</v>
      </c>
      <c r="K3" s="42">
        <f>D3-J3</f>
        <v>-4.9999999999999989E-2</v>
      </c>
    </row>
    <row r="4" spans="1:12" ht="24.95" customHeight="1" x14ac:dyDescent="0.25">
      <c r="A4" s="6"/>
      <c r="C4" s="1" t="s">
        <v>11</v>
      </c>
      <c r="D4" s="29">
        <v>0.06</v>
      </c>
      <c r="E4" s="24">
        <v>7.0000000000000007E-2</v>
      </c>
      <c r="F4" s="42">
        <f>(1+D4)/(1+E4)-1</f>
        <v>-9.3457943925233655E-3</v>
      </c>
      <c r="G4" s="24">
        <v>0.3</v>
      </c>
      <c r="H4" s="42">
        <f>D4*(1-G4)</f>
        <v>4.1999999999999996E-2</v>
      </c>
      <c r="I4" s="73">
        <f>(1+H4)/(1+E4)-1</f>
        <v>-2.6168224299065401E-2</v>
      </c>
      <c r="J4" s="24">
        <v>0.12</v>
      </c>
      <c r="K4" s="42">
        <f>D4-J4</f>
        <v>-0.06</v>
      </c>
    </row>
    <row r="5" spans="1:12" ht="24.95" customHeight="1" x14ac:dyDescent="0.25">
      <c r="A5" s="60"/>
      <c r="B5" s="60"/>
      <c r="E5" s="3"/>
      <c r="F5" s="3"/>
      <c r="H5" s="3"/>
      <c r="I5" s="3"/>
      <c r="K5" s="3"/>
    </row>
    <row r="6" spans="1:12" ht="24.95" customHeight="1" x14ac:dyDescent="0.25">
      <c r="B6" s="61"/>
      <c r="C6" s="61"/>
      <c r="E6" s="3"/>
      <c r="F6" s="3"/>
      <c r="H6" s="3"/>
      <c r="K6" s="3"/>
    </row>
    <row r="7" spans="1:12" ht="39.950000000000003" customHeight="1" x14ac:dyDescent="0.25">
      <c r="D7" s="11" t="s">
        <v>20</v>
      </c>
      <c r="E7" s="11" t="s">
        <v>64</v>
      </c>
      <c r="F7" s="5" t="s">
        <v>21</v>
      </c>
      <c r="H7" s="11" t="s">
        <v>21</v>
      </c>
      <c r="I7" s="11" t="s">
        <v>64</v>
      </c>
      <c r="J7" s="11" t="s">
        <v>20</v>
      </c>
    </row>
    <row r="8" spans="1:12" ht="24.95" customHeight="1" x14ac:dyDescent="0.25">
      <c r="C8" s="25" t="s">
        <v>37</v>
      </c>
      <c r="D8" s="24">
        <v>0.08</v>
      </c>
      <c r="E8" s="15">
        <v>2</v>
      </c>
      <c r="F8" s="4">
        <f>EFFECT(D8,E8)</f>
        <v>8.1600000000000117E-2</v>
      </c>
      <c r="G8" s="25" t="s">
        <v>34</v>
      </c>
      <c r="H8" s="24">
        <v>0.09</v>
      </c>
      <c r="I8" s="15">
        <v>2</v>
      </c>
      <c r="J8" s="4">
        <f>NOMINAL(H8,I8)</f>
        <v>8.8061301782110135E-2</v>
      </c>
    </row>
    <row r="9" spans="1:12" ht="24.95" customHeight="1" x14ac:dyDescent="0.25">
      <c r="C9" s="25" t="s">
        <v>38</v>
      </c>
      <c r="D9" s="24">
        <v>0.08</v>
      </c>
      <c r="E9" s="15">
        <v>4</v>
      </c>
      <c r="F9" s="43">
        <f>EFFECT(D9,E9)</f>
        <v>8.2432159999999977E-2</v>
      </c>
      <c r="G9" s="25" t="s">
        <v>35</v>
      </c>
      <c r="H9" s="24">
        <v>0.09</v>
      </c>
      <c r="I9" s="15">
        <v>4</v>
      </c>
      <c r="J9" s="4">
        <f t="shared" ref="J9:J10" si="0">NOMINAL(H9,I9)</f>
        <v>8.7112723458564467E-2</v>
      </c>
    </row>
    <row r="10" spans="1:12" ht="24.95" customHeight="1" x14ac:dyDescent="0.25">
      <c r="C10" s="25" t="s">
        <v>39</v>
      </c>
      <c r="D10" s="24">
        <v>0.08</v>
      </c>
      <c r="E10" s="15">
        <v>1</v>
      </c>
      <c r="F10" s="4">
        <f>EFFECT(D10,E10)</f>
        <v>8.0000000000000071E-2</v>
      </c>
      <c r="G10" s="25" t="s">
        <v>36</v>
      </c>
      <c r="H10" s="24">
        <v>0.09</v>
      </c>
      <c r="I10" s="15">
        <v>1</v>
      </c>
      <c r="J10" s="4">
        <f t="shared" si="0"/>
        <v>9.000000000000008E-2</v>
      </c>
    </row>
    <row r="11" spans="1:12" ht="24.95" customHeight="1" x14ac:dyDescent="0.25">
      <c r="D11" s="24"/>
      <c r="E11" s="15"/>
      <c r="F11" s="29"/>
      <c r="G11" s="13"/>
      <c r="H11" s="24"/>
      <c r="I11" s="15"/>
      <c r="J11" s="4"/>
    </row>
    <row r="12" spans="1:12" ht="24.95" customHeight="1" x14ac:dyDescent="0.25">
      <c r="J12" s="31"/>
    </row>
    <row r="13" spans="1:12" ht="24.95" customHeight="1" x14ac:dyDescent="0.25">
      <c r="C13" s="68"/>
      <c r="D13" s="68"/>
      <c r="E13" s="68"/>
      <c r="F13" s="68"/>
      <c r="H13" s="2" t="s">
        <v>5</v>
      </c>
      <c r="K13" s="2" t="s">
        <v>32</v>
      </c>
    </row>
    <row r="14" spans="1:12" ht="24.95" customHeight="1" x14ac:dyDescent="0.25">
      <c r="C14" s="52"/>
      <c r="D14" s="69"/>
      <c r="E14" s="69"/>
      <c r="F14" s="69"/>
      <c r="H14" s="5" t="s">
        <v>1</v>
      </c>
      <c r="I14" s="5" t="s">
        <v>31</v>
      </c>
      <c r="K14" s="5" t="s">
        <v>1</v>
      </c>
      <c r="L14" s="5" t="s">
        <v>31</v>
      </c>
    </row>
    <row r="15" spans="1:12" ht="24.95" customHeight="1" x14ac:dyDescent="0.25">
      <c r="C15" s="52"/>
      <c r="D15" s="52"/>
      <c r="E15" s="66"/>
      <c r="F15" s="66"/>
      <c r="H15" s="7">
        <v>41639</v>
      </c>
      <c r="I15" s="23">
        <v>-100</v>
      </c>
      <c r="K15" s="7">
        <v>41639</v>
      </c>
      <c r="L15" s="23">
        <v>-100</v>
      </c>
    </row>
    <row r="16" spans="1:12" ht="24.95" customHeight="1" x14ac:dyDescent="0.25">
      <c r="C16" s="52"/>
      <c r="D16" s="52"/>
      <c r="E16" s="69"/>
      <c r="F16" s="69"/>
      <c r="H16" s="7">
        <v>42004</v>
      </c>
      <c r="I16" s="23">
        <v>-50</v>
      </c>
      <c r="K16" s="7">
        <v>41764</v>
      </c>
      <c r="L16" s="23">
        <v>-50</v>
      </c>
    </row>
    <row r="17" spans="3:12" ht="24.95" customHeight="1" x14ac:dyDescent="0.25">
      <c r="C17" s="52"/>
      <c r="D17" s="69"/>
      <c r="E17" s="69"/>
      <c r="F17" s="69"/>
      <c r="H17" s="7">
        <v>42369</v>
      </c>
      <c r="I17" s="23">
        <v>-25</v>
      </c>
      <c r="K17" s="7">
        <v>42369</v>
      </c>
      <c r="L17" s="23">
        <v>-25</v>
      </c>
    </row>
    <row r="18" spans="3:12" ht="24.95" customHeight="1" x14ac:dyDescent="0.25">
      <c r="C18" s="52"/>
      <c r="D18" s="66"/>
      <c r="E18" s="66"/>
      <c r="F18" s="66"/>
      <c r="H18" s="7">
        <v>42735</v>
      </c>
      <c r="I18" s="23">
        <v>60</v>
      </c>
      <c r="K18" s="7">
        <v>42529</v>
      </c>
      <c r="L18" s="23">
        <v>60</v>
      </c>
    </row>
    <row r="19" spans="3:12" ht="24.95" customHeight="1" x14ac:dyDescent="0.25">
      <c r="C19" s="52"/>
      <c r="D19" s="69"/>
      <c r="E19" s="69"/>
      <c r="F19" s="69"/>
      <c r="H19" s="7">
        <v>43100</v>
      </c>
      <c r="I19" s="23">
        <v>-150</v>
      </c>
      <c r="K19" s="7">
        <v>43100</v>
      </c>
      <c r="L19" s="23">
        <v>-150</v>
      </c>
    </row>
    <row r="20" spans="3:12" ht="24.95" customHeight="1" x14ac:dyDescent="0.25">
      <c r="C20" s="52"/>
      <c r="D20" s="69"/>
      <c r="E20" s="69"/>
      <c r="F20" s="69"/>
      <c r="H20" s="7">
        <v>43465</v>
      </c>
      <c r="I20" s="23">
        <v>-200</v>
      </c>
      <c r="K20" s="7">
        <v>43290</v>
      </c>
      <c r="L20" s="23">
        <v>-200</v>
      </c>
    </row>
    <row r="21" spans="3:12" ht="24.95" customHeight="1" x14ac:dyDescent="0.25">
      <c r="C21" s="52"/>
      <c r="D21" s="66"/>
      <c r="E21" s="66"/>
      <c r="F21" s="69"/>
      <c r="H21" s="7">
        <v>43830</v>
      </c>
      <c r="I21" s="23">
        <v>-150</v>
      </c>
      <c r="K21" s="7">
        <v>43647</v>
      </c>
      <c r="L21" s="23">
        <v>-150</v>
      </c>
    </row>
    <row r="22" spans="3:12" ht="24.95" customHeight="1" x14ac:dyDescent="0.25">
      <c r="C22" s="52"/>
      <c r="D22" s="69"/>
      <c r="E22" s="69"/>
      <c r="F22" s="69"/>
      <c r="H22" s="7">
        <v>44196</v>
      </c>
      <c r="I22" s="23">
        <v>1000</v>
      </c>
      <c r="K22" s="7">
        <v>44165</v>
      </c>
      <c r="L22" s="23">
        <v>1000</v>
      </c>
    </row>
    <row r="23" spans="3:12" ht="24.95" customHeight="1" x14ac:dyDescent="0.25">
      <c r="C23" s="52"/>
      <c r="D23" s="69"/>
      <c r="E23" s="69"/>
      <c r="F23" s="69"/>
      <c r="H23" s="18" t="s">
        <v>53</v>
      </c>
      <c r="I23" s="20">
        <f>IRR(I15:I22)</f>
        <v>0.15238776695550804</v>
      </c>
      <c r="K23" s="18" t="s">
        <v>54</v>
      </c>
      <c r="L23" s="20">
        <f>XIRR(L15:L22,K15:K22)</f>
        <v>0.14593170285224921</v>
      </c>
    </row>
    <row r="24" spans="3:12" ht="24.95" customHeight="1" x14ac:dyDescent="0.25">
      <c r="C24" s="52"/>
      <c r="D24" s="66"/>
      <c r="E24" s="66"/>
      <c r="F24" s="66"/>
    </row>
    <row r="25" spans="3:12" ht="24.95" customHeight="1" x14ac:dyDescent="0.25">
      <c r="C25" s="52"/>
      <c r="D25" s="69"/>
      <c r="E25" s="69"/>
      <c r="F25" s="69"/>
      <c r="H25" s="63"/>
      <c r="I25" s="62"/>
    </row>
    <row r="26" spans="3:12" ht="24.95" customHeight="1" x14ac:dyDescent="0.25">
      <c r="C26" s="70"/>
      <c r="D26" s="67"/>
      <c r="E26" s="67"/>
      <c r="F26" s="67"/>
    </row>
    <row r="27" spans="3:12" ht="24.95" customHeight="1" x14ac:dyDescent="0.25">
      <c r="C27" s="71"/>
      <c r="D27" s="72"/>
      <c r="E27" s="72"/>
      <c r="F27" s="72"/>
      <c r="I27" s="6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1FF3-CC8A-3A4E-AE5A-C08BB7039BEA}">
  <dimension ref="A1:O28"/>
  <sheetViews>
    <sheetView tabSelected="1" zoomScale="150" zoomScaleNormal="150" workbookViewId="0">
      <selection activeCell="B3" sqref="B3"/>
    </sheetView>
  </sheetViews>
  <sheetFormatPr defaultColWidth="14" defaultRowHeight="24.95" customHeight="1" x14ac:dyDescent="0.25"/>
  <cols>
    <col min="1" max="5" width="14" style="1"/>
    <col min="6" max="6" width="14" style="1" customWidth="1"/>
    <col min="7" max="8" width="14" style="1"/>
    <col min="9" max="9" width="14.125" style="1" customWidth="1"/>
    <col min="10" max="16384" width="14" style="1"/>
  </cols>
  <sheetData>
    <row r="1" spans="1:15" ht="39.950000000000003" customHeight="1" x14ac:dyDescent="0.25">
      <c r="A1" s="6"/>
      <c r="C1" s="10" t="s">
        <v>33</v>
      </c>
      <c r="D1" s="11" t="s">
        <v>55</v>
      </c>
      <c r="E1" s="11" t="s">
        <v>0</v>
      </c>
      <c r="F1" s="11" t="s">
        <v>56</v>
      </c>
      <c r="G1" s="11" t="s">
        <v>12</v>
      </c>
      <c r="H1" s="11" t="s">
        <v>57</v>
      </c>
      <c r="I1" s="11" t="s">
        <v>16</v>
      </c>
      <c r="J1" s="11" t="s">
        <v>58</v>
      </c>
      <c r="K1" s="5" t="s">
        <v>17</v>
      </c>
    </row>
    <row r="2" spans="1:15" ht="24.95" customHeight="1" x14ac:dyDescent="0.25">
      <c r="A2" s="6"/>
      <c r="C2" s="1" t="s">
        <v>9</v>
      </c>
      <c r="D2" s="42">
        <f>B16</f>
        <v>0.31730900602744083</v>
      </c>
      <c r="E2" s="42">
        <f>B28</f>
        <v>0.14564409826631072</v>
      </c>
      <c r="F2" s="29">
        <v>0.06</v>
      </c>
      <c r="G2" s="27">
        <f>(E2-F2)/D2</f>
        <v>0.26990755585079185</v>
      </c>
      <c r="H2" s="42">
        <f>J16</f>
        <v>7.6978361656151822E-2</v>
      </c>
      <c r="I2" s="27">
        <f>(E2-F2)/H2</f>
        <v>1.1125736690638748</v>
      </c>
      <c r="J2" s="13">
        <v>0.94</v>
      </c>
      <c r="K2" s="27">
        <f>(E2-F2)/J2</f>
        <v>9.111074283650078E-2</v>
      </c>
    </row>
    <row r="3" spans="1:15" ht="24.95" customHeight="1" x14ac:dyDescent="0.25">
      <c r="A3" s="6"/>
      <c r="C3" s="1" t="s">
        <v>10</v>
      </c>
      <c r="D3" s="42">
        <f>E16</f>
        <v>0.31446553946371308</v>
      </c>
      <c r="E3" s="42">
        <f>E28</f>
        <v>0.17589081829910419</v>
      </c>
      <c r="F3" s="29">
        <v>0.06</v>
      </c>
      <c r="G3" s="27">
        <f>(E3-F3)/D3</f>
        <v>0.3685326490678229</v>
      </c>
      <c r="H3" s="42">
        <f>K16</f>
        <v>6.044926697281796E-2</v>
      </c>
      <c r="I3" s="27">
        <f>(E3-F3)/H3</f>
        <v>1.9171583726766523</v>
      </c>
      <c r="J3" s="13">
        <v>0.95</v>
      </c>
      <c r="K3" s="27">
        <f>(E3-F3)/J3</f>
        <v>0.12199033505168863</v>
      </c>
    </row>
    <row r="4" spans="1:15" ht="24.95" customHeight="1" x14ac:dyDescent="0.25">
      <c r="A4" s="6"/>
      <c r="C4" s="1" t="s">
        <v>11</v>
      </c>
      <c r="D4" s="42">
        <f>H16</f>
        <v>0.27679735680582979</v>
      </c>
      <c r="E4" s="42">
        <f>H28</f>
        <v>0.1284819868486051</v>
      </c>
      <c r="F4" s="29">
        <v>0.06</v>
      </c>
      <c r="G4" s="27">
        <f>(E4-F4)/D4</f>
        <v>0.24740838438224119</v>
      </c>
      <c r="H4" s="42">
        <f>L16</f>
        <v>6.3359821170640235E-2</v>
      </c>
      <c r="I4" s="27">
        <f>(E4-F4)/H4</f>
        <v>1.0808424895040325</v>
      </c>
      <c r="J4" s="13">
        <v>0.96</v>
      </c>
      <c r="K4" s="27">
        <f>(E4-F4)/J4</f>
        <v>7.1335402967296985E-2</v>
      </c>
    </row>
    <row r="5" spans="1:15" ht="24.95" customHeight="1" x14ac:dyDescent="0.25">
      <c r="H5" s="15"/>
      <c r="I5" s="3"/>
      <c r="J5" s="15"/>
      <c r="K5" s="3"/>
      <c r="L5" s="15"/>
    </row>
    <row r="6" spans="1:15" ht="24.95" customHeight="1" x14ac:dyDescent="0.25">
      <c r="H6" s="15"/>
      <c r="I6" s="3"/>
      <c r="J6" s="15"/>
      <c r="K6" s="3"/>
      <c r="L6" s="15"/>
    </row>
    <row r="7" spans="1:15" ht="24.95" customHeight="1" x14ac:dyDescent="0.25">
      <c r="A7" s="74" t="s">
        <v>2</v>
      </c>
      <c r="B7" s="74"/>
      <c r="D7" s="74" t="s">
        <v>3</v>
      </c>
      <c r="E7" s="74"/>
      <c r="G7" s="74" t="s">
        <v>4</v>
      </c>
      <c r="H7" s="74"/>
      <c r="J7" s="74" t="s">
        <v>59</v>
      </c>
      <c r="K7" s="74"/>
      <c r="L7" s="74"/>
    </row>
    <row r="8" spans="1:15" ht="24.95" customHeight="1" x14ac:dyDescent="0.25">
      <c r="A8" s="5" t="s">
        <v>1</v>
      </c>
      <c r="B8" s="5" t="s">
        <v>0</v>
      </c>
      <c r="D8" s="5" t="s">
        <v>1</v>
      </c>
      <c r="E8" s="5" t="s">
        <v>0</v>
      </c>
      <c r="G8" s="5" t="s">
        <v>1</v>
      </c>
      <c r="H8" s="5" t="s">
        <v>0</v>
      </c>
      <c r="J8" s="5" t="s">
        <v>13</v>
      </c>
      <c r="K8" s="5" t="s">
        <v>14</v>
      </c>
      <c r="L8" s="5" t="s">
        <v>15</v>
      </c>
    </row>
    <row r="9" spans="1:15" ht="24.95" customHeight="1" x14ac:dyDescent="0.25">
      <c r="A9" s="3">
        <v>2014</v>
      </c>
      <c r="B9" s="4">
        <v>0.85580000000000001</v>
      </c>
      <c r="D9" s="3">
        <v>2014</v>
      </c>
      <c r="E9" s="4">
        <v>0.8851</v>
      </c>
      <c r="G9" s="3">
        <v>2014</v>
      </c>
      <c r="H9" s="4">
        <v>0.77849999999999997</v>
      </c>
      <c r="I9" s="4"/>
      <c r="J9" s="29">
        <v>0</v>
      </c>
      <c r="K9" s="29">
        <v>0</v>
      </c>
      <c r="L9" s="29">
        <v>0</v>
      </c>
      <c r="M9" s="8"/>
      <c r="N9" s="8"/>
      <c r="O9" s="8"/>
    </row>
    <row r="10" spans="1:15" ht="24.95" customHeight="1" x14ac:dyDescent="0.25">
      <c r="A10" s="3">
        <v>2015</v>
      </c>
      <c r="B10" s="4">
        <v>0.1067</v>
      </c>
      <c r="D10" s="3">
        <v>2015</v>
      </c>
      <c r="E10" s="4">
        <v>6.08E-2</v>
      </c>
      <c r="G10" s="3">
        <v>2015</v>
      </c>
      <c r="H10" s="4">
        <v>6.8199999999999997E-2</v>
      </c>
      <c r="J10" s="29">
        <v>0</v>
      </c>
      <c r="K10" s="29">
        <f t="shared" ref="K10:K14" si="0">E10-8%</f>
        <v>-1.9200000000000002E-2</v>
      </c>
      <c r="L10" s="59">
        <f>H10-8%</f>
        <v>-1.1800000000000005E-2</v>
      </c>
      <c r="M10" s="8"/>
      <c r="N10" s="8"/>
      <c r="O10" s="8"/>
    </row>
    <row r="11" spans="1:15" ht="24.95" customHeight="1" x14ac:dyDescent="0.25">
      <c r="A11" s="3">
        <v>2016</v>
      </c>
      <c r="B11" s="4">
        <v>3.0499999999999999E-2</v>
      </c>
      <c r="D11" s="3">
        <v>2016</v>
      </c>
      <c r="E11" s="4">
        <v>5.7300000000000004E-2</v>
      </c>
      <c r="G11" s="3">
        <v>2016</v>
      </c>
      <c r="H11" s="4">
        <v>0.12390000000000001</v>
      </c>
      <c r="J11" s="29">
        <f>B11-8%</f>
        <v>-4.9500000000000002E-2</v>
      </c>
      <c r="K11" s="29">
        <f t="shared" si="0"/>
        <v>-2.2699999999999998E-2</v>
      </c>
      <c r="L11" s="29">
        <v>0</v>
      </c>
      <c r="M11" s="8"/>
      <c r="N11" s="8"/>
      <c r="O11" s="8"/>
    </row>
    <row r="12" spans="1:15" ht="24.95" customHeight="1" x14ac:dyDescent="0.25">
      <c r="A12" s="3">
        <v>2017</v>
      </c>
      <c r="B12" s="4">
        <v>0.53110000000000002</v>
      </c>
      <c r="D12" s="3">
        <v>2017</v>
      </c>
      <c r="E12" s="4">
        <v>0.44479999999999997</v>
      </c>
      <c r="G12" s="3">
        <v>2017</v>
      </c>
      <c r="H12" s="4">
        <v>0.43060000000000004</v>
      </c>
      <c r="J12" s="29">
        <v>0</v>
      </c>
      <c r="K12" s="29">
        <v>0</v>
      </c>
      <c r="L12" s="29">
        <v>0</v>
      </c>
      <c r="M12" s="8"/>
      <c r="N12" s="8"/>
      <c r="O12" s="8"/>
    </row>
    <row r="13" spans="1:15" ht="24.95" customHeight="1" x14ac:dyDescent="0.25">
      <c r="A13" s="3">
        <v>2018</v>
      </c>
      <c r="B13" s="4">
        <v>-0.1449</v>
      </c>
      <c r="C13" s="21"/>
      <c r="D13" s="3">
        <v>2018</v>
      </c>
      <c r="E13" s="4">
        <v>-9.6999999999999989E-2</v>
      </c>
      <c r="F13" s="21"/>
      <c r="G13" s="3">
        <v>2018</v>
      </c>
      <c r="H13" s="4">
        <v>-0.1014</v>
      </c>
      <c r="J13" s="29">
        <f t="shared" ref="J13:J14" si="1">B13-8%</f>
        <v>-0.22489999999999999</v>
      </c>
      <c r="K13" s="29">
        <f t="shared" si="0"/>
        <v>-0.17699999999999999</v>
      </c>
      <c r="L13" s="59">
        <f>H13-8%</f>
        <v>-0.18140000000000001</v>
      </c>
      <c r="M13" s="8"/>
      <c r="N13" s="8"/>
      <c r="O13" s="8"/>
    </row>
    <row r="14" spans="1:15" ht="24.95" customHeight="1" x14ac:dyDescent="0.25">
      <c r="A14" s="3">
        <v>2019</v>
      </c>
      <c r="B14" s="4">
        <v>6.8400000000000002E-2</v>
      </c>
      <c r="D14" s="3">
        <v>2019</v>
      </c>
      <c r="E14" s="4">
        <v>3.8E-3</v>
      </c>
      <c r="G14" s="3">
        <v>2019</v>
      </c>
      <c r="H14" s="4">
        <v>9.1999999999999998E-3</v>
      </c>
      <c r="J14" s="29">
        <f t="shared" si="1"/>
        <v>-1.1599999999999999E-2</v>
      </c>
      <c r="K14" s="29">
        <f t="shared" si="0"/>
        <v>-7.6200000000000004E-2</v>
      </c>
      <c r="L14" s="59">
        <f>H14-8%</f>
        <v>-7.0800000000000002E-2</v>
      </c>
      <c r="M14" s="8"/>
      <c r="N14" s="8"/>
      <c r="O14" s="8"/>
    </row>
    <row r="15" spans="1:15" ht="24.95" customHeight="1" x14ac:dyDescent="0.25">
      <c r="A15" s="3">
        <v>2020</v>
      </c>
      <c r="B15" s="4">
        <v>0.28449999999999998</v>
      </c>
      <c r="D15" s="3">
        <v>2020</v>
      </c>
      <c r="E15" s="4">
        <v>0.2021</v>
      </c>
      <c r="G15" s="3">
        <v>2020</v>
      </c>
      <c r="H15" s="4">
        <v>0.22579999999999997</v>
      </c>
      <c r="J15" s="29">
        <v>0</v>
      </c>
      <c r="K15" s="29">
        <v>0</v>
      </c>
      <c r="L15" s="29">
        <v>0</v>
      </c>
      <c r="M15" s="8"/>
      <c r="N15" s="8"/>
      <c r="O15" s="8"/>
    </row>
    <row r="16" spans="1:15" ht="24.95" customHeight="1" x14ac:dyDescent="0.25">
      <c r="A16" s="18" t="s">
        <v>30</v>
      </c>
      <c r="B16" s="19">
        <f>_xlfn.STDEV.P(B9:B15)</f>
        <v>0.31730900602744083</v>
      </c>
      <c r="D16" s="18" t="s">
        <v>30</v>
      </c>
      <c r="E16" s="19">
        <f>_xlfn.STDEV.P(E9:E15)</f>
        <v>0.31446553946371308</v>
      </c>
      <c r="G16" s="39" t="s">
        <v>30</v>
      </c>
      <c r="H16" s="22">
        <f>_xlfn.STDEV.P(H9:H15)</f>
        <v>0.27679735680582979</v>
      </c>
      <c r="J16" s="22">
        <f>_xlfn.STDEV.P(J9:J15)</f>
        <v>7.6978361656151822E-2</v>
      </c>
      <c r="K16" s="22">
        <f>_xlfn.STDEV.P(K9:K15)</f>
        <v>6.044926697281796E-2</v>
      </c>
      <c r="L16" s="22">
        <f>_xlfn.STDEV.P(L9:L15)</f>
        <v>6.3359821170640235E-2</v>
      </c>
      <c r="M16" s="8"/>
      <c r="N16" s="8"/>
      <c r="O16" s="8"/>
    </row>
    <row r="17" spans="1:15" ht="24.95" customHeight="1" x14ac:dyDescent="0.25">
      <c r="A17" s="3"/>
      <c r="B17" s="4"/>
      <c r="E17" s="4"/>
      <c r="H17" s="58"/>
      <c r="J17" s="4"/>
      <c r="K17" s="4"/>
      <c r="L17" s="4"/>
      <c r="M17" s="8"/>
      <c r="N17" s="8"/>
      <c r="O17" s="8"/>
    </row>
    <row r="18" spans="1:15" ht="24.95" customHeight="1" x14ac:dyDescent="0.25">
      <c r="A18" s="2" t="s">
        <v>5</v>
      </c>
      <c r="D18" s="2" t="s">
        <v>6</v>
      </c>
      <c r="G18" s="2" t="s">
        <v>7</v>
      </c>
      <c r="K18" s="4"/>
      <c r="M18" s="8"/>
      <c r="N18" s="8"/>
      <c r="O18" s="8"/>
    </row>
    <row r="19" spans="1:15" ht="24.95" customHeight="1" x14ac:dyDescent="0.25">
      <c r="A19" s="5" t="s">
        <v>1</v>
      </c>
      <c r="B19" s="5" t="s">
        <v>8</v>
      </c>
      <c r="D19" s="5" t="s">
        <v>1</v>
      </c>
      <c r="E19" s="5" t="s">
        <v>8</v>
      </c>
      <c r="G19" s="5" t="s">
        <v>1</v>
      </c>
      <c r="H19" s="5" t="s">
        <v>8</v>
      </c>
      <c r="K19" s="4"/>
      <c r="M19" s="8"/>
      <c r="N19" s="8"/>
      <c r="O19" s="8"/>
    </row>
    <row r="20" spans="1:15" ht="24.95" customHeight="1" x14ac:dyDescent="0.25">
      <c r="A20" s="7">
        <v>41639</v>
      </c>
      <c r="B20" s="9">
        <v>14.93</v>
      </c>
      <c r="D20" s="7">
        <v>41639</v>
      </c>
      <c r="E20" s="9">
        <v>36.270000000000003</v>
      </c>
      <c r="G20" s="7">
        <v>41639</v>
      </c>
      <c r="H20" s="41">
        <v>28</v>
      </c>
      <c r="K20" s="4"/>
      <c r="M20" s="8"/>
      <c r="N20" s="8"/>
      <c r="O20" s="8"/>
    </row>
    <row r="21" spans="1:15" ht="24.95" customHeight="1" x14ac:dyDescent="0.25">
      <c r="A21" s="7">
        <v>42004</v>
      </c>
      <c r="B21" s="9">
        <v>21.606000000000002</v>
      </c>
      <c r="C21" s="4"/>
      <c r="D21" s="7">
        <v>42004</v>
      </c>
      <c r="E21" s="9">
        <v>67.81</v>
      </c>
      <c r="G21" s="7">
        <v>42004</v>
      </c>
      <c r="H21" s="9">
        <v>36.093000000000004</v>
      </c>
    </row>
    <row r="22" spans="1:15" ht="24.95" customHeight="1" x14ac:dyDescent="0.25">
      <c r="A22" s="7">
        <v>42369</v>
      </c>
      <c r="B22" s="9">
        <v>22.184000000000001</v>
      </c>
      <c r="C22" s="4"/>
      <c r="D22" s="7">
        <v>42369</v>
      </c>
      <c r="E22" s="9">
        <v>71.260000000000005</v>
      </c>
      <c r="G22" s="7">
        <v>42369</v>
      </c>
      <c r="H22" s="9">
        <v>38.19</v>
      </c>
    </row>
    <row r="23" spans="1:15" ht="24.95" customHeight="1" x14ac:dyDescent="0.25">
      <c r="A23" s="7">
        <v>42735</v>
      </c>
      <c r="B23" s="9">
        <v>22.292000000000002</v>
      </c>
      <c r="C23" s="4"/>
      <c r="D23" s="7">
        <v>42735</v>
      </c>
      <c r="E23" s="9">
        <v>74.7</v>
      </c>
      <c r="G23" s="7">
        <v>42735</v>
      </c>
      <c r="H23" s="9">
        <v>42.524000000000001</v>
      </c>
    </row>
    <row r="24" spans="1:15" ht="24.95" customHeight="1" x14ac:dyDescent="0.25">
      <c r="A24" s="7">
        <v>43100</v>
      </c>
      <c r="B24" s="9">
        <v>30.657</v>
      </c>
      <c r="C24" s="4"/>
      <c r="D24" s="7">
        <v>43100</v>
      </c>
      <c r="E24" s="9">
        <v>106.75</v>
      </c>
      <c r="G24" s="7">
        <v>43100</v>
      </c>
      <c r="H24" s="9">
        <v>60.212000000000003</v>
      </c>
    </row>
    <row r="25" spans="1:15" ht="24.95" customHeight="1" x14ac:dyDescent="0.25">
      <c r="A25" s="7">
        <v>43465</v>
      </c>
      <c r="B25" s="9">
        <v>29.757000000000001</v>
      </c>
      <c r="C25" s="4"/>
      <c r="D25" s="7">
        <v>43465</v>
      </c>
      <c r="E25" s="9">
        <v>95.24</v>
      </c>
      <c r="G25" s="7">
        <v>43465</v>
      </c>
      <c r="H25" s="9">
        <v>53.49</v>
      </c>
    </row>
    <row r="26" spans="1:15" ht="24.95" customHeight="1" x14ac:dyDescent="0.25">
      <c r="A26" s="7">
        <v>43830</v>
      </c>
      <c r="B26" s="9">
        <v>33.061</v>
      </c>
      <c r="C26" s="4"/>
      <c r="D26" s="7">
        <v>43830</v>
      </c>
      <c r="E26" s="9">
        <v>94.66</v>
      </c>
      <c r="G26" s="7">
        <v>43830</v>
      </c>
      <c r="H26" s="9">
        <v>53.598999999999997</v>
      </c>
    </row>
    <row r="27" spans="1:15" ht="24.95" customHeight="1" x14ac:dyDescent="0.25">
      <c r="A27" s="7">
        <v>44196</v>
      </c>
      <c r="B27" s="9">
        <v>38.673000000000002</v>
      </c>
      <c r="C27" s="4"/>
      <c r="D27" s="7">
        <v>44196</v>
      </c>
      <c r="E27" s="9">
        <v>112.75</v>
      </c>
      <c r="G27" s="7">
        <v>44196</v>
      </c>
      <c r="H27" s="9">
        <v>65.256</v>
      </c>
    </row>
    <row r="28" spans="1:15" ht="24.95" customHeight="1" x14ac:dyDescent="0.25">
      <c r="A28" s="18" t="s">
        <v>27</v>
      </c>
      <c r="B28" s="20">
        <f>RATE(7,,-B20,B27,0)</f>
        <v>0.14564409826631072</v>
      </c>
      <c r="D28" s="39" t="s">
        <v>27</v>
      </c>
      <c r="E28" s="40">
        <f>RATE(7,,-E20,E27)</f>
        <v>0.17589081829910419</v>
      </c>
      <c r="G28" s="18" t="s">
        <v>27</v>
      </c>
      <c r="H28" s="40">
        <f>RATE(7,,-H20,H27)</f>
        <v>0.1284819868486051</v>
      </c>
    </row>
  </sheetData>
  <mergeCells count="4">
    <mergeCell ref="J7:L7"/>
    <mergeCell ref="G7:H7"/>
    <mergeCell ref="D7:E7"/>
    <mergeCell ref="A7:B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DD34-1AB9-F148-8786-080BCD6CE6B2}">
  <dimension ref="A1:K33"/>
  <sheetViews>
    <sheetView zoomScale="140" zoomScaleNormal="140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H6" sqref="H6"/>
    </sheetView>
  </sheetViews>
  <sheetFormatPr defaultColWidth="14" defaultRowHeight="24.95" customHeight="1" x14ac:dyDescent="0.25"/>
  <cols>
    <col min="1" max="1" width="6.625" style="1" customWidth="1"/>
    <col min="2" max="2" width="34.125" style="1" customWidth="1"/>
    <col min="3" max="8" width="14.125" style="1" customWidth="1"/>
    <col min="9" max="16384" width="14" style="1"/>
  </cols>
  <sheetData>
    <row r="1" spans="1:11" ht="24.95" customHeight="1" x14ac:dyDescent="0.25">
      <c r="A1" s="6" t="s">
        <v>41</v>
      </c>
      <c r="D1" s="12"/>
      <c r="E1" s="12"/>
      <c r="F1" s="12"/>
      <c r="G1" s="12"/>
      <c r="H1" s="12"/>
      <c r="I1" s="12"/>
      <c r="J1" s="12"/>
      <c r="K1" s="12"/>
    </row>
    <row r="2" spans="1:11" ht="24.95" customHeight="1" x14ac:dyDescent="0.25">
      <c r="A2" s="6"/>
      <c r="C2" s="13"/>
      <c r="D2" s="13"/>
      <c r="E2" s="14"/>
      <c r="F2" s="13"/>
      <c r="G2" s="14"/>
      <c r="H2" s="13"/>
      <c r="I2" s="13"/>
      <c r="J2" s="14"/>
      <c r="K2" s="13"/>
    </row>
    <row r="3" spans="1:11" ht="9.9499999999999993" customHeight="1" x14ac:dyDescent="0.25">
      <c r="A3" s="6"/>
      <c r="C3" s="13"/>
      <c r="D3" s="13"/>
      <c r="E3" s="14"/>
      <c r="F3" s="13"/>
      <c r="G3" s="14"/>
      <c r="H3" s="13"/>
      <c r="I3" s="13"/>
      <c r="J3" s="14"/>
      <c r="K3" s="13"/>
    </row>
    <row r="4" spans="1:11" ht="24.95" customHeight="1" x14ac:dyDescent="0.25">
      <c r="A4" s="5" t="s">
        <v>23</v>
      </c>
      <c r="B4" s="5" t="s">
        <v>24</v>
      </c>
      <c r="C4" s="5" t="s">
        <v>26</v>
      </c>
      <c r="D4" s="5" t="s">
        <v>25</v>
      </c>
      <c r="E4" s="17" t="s">
        <v>27</v>
      </c>
      <c r="F4" s="5" t="s">
        <v>28</v>
      </c>
      <c r="G4" s="17" t="s">
        <v>29</v>
      </c>
      <c r="H4" s="5" t="s">
        <v>45</v>
      </c>
      <c r="I4" s="13"/>
      <c r="J4" s="14"/>
      <c r="K4" s="13"/>
    </row>
    <row r="5" spans="1:11" ht="24.95" customHeight="1" x14ac:dyDescent="0.25">
      <c r="A5" s="15">
        <v>1</v>
      </c>
      <c r="B5" s="13" t="s">
        <v>42</v>
      </c>
      <c r="C5" s="44">
        <v>-100000</v>
      </c>
      <c r="D5" s="38">
        <v>0</v>
      </c>
      <c r="E5" s="29">
        <v>0.11</v>
      </c>
      <c r="F5" s="27">
        <v>5</v>
      </c>
      <c r="G5" s="45">
        <f>FV(E5,F5,D5,C5)</f>
        <v>168505.81551000004</v>
      </c>
      <c r="H5" s="15">
        <v>0</v>
      </c>
      <c r="I5" s="13"/>
      <c r="J5" s="13"/>
      <c r="K5" s="13"/>
    </row>
    <row r="6" spans="1:11" ht="24.95" customHeight="1" x14ac:dyDescent="0.25">
      <c r="A6" s="15"/>
      <c r="B6" s="13"/>
      <c r="C6" s="32"/>
      <c r="D6" s="33"/>
      <c r="E6" s="30"/>
      <c r="F6" s="28"/>
      <c r="G6" s="32"/>
      <c r="H6" s="16"/>
      <c r="I6" s="12"/>
      <c r="J6" s="12"/>
      <c r="K6" s="13"/>
    </row>
    <row r="7" spans="1:11" ht="24.95" customHeight="1" x14ac:dyDescent="0.25">
      <c r="A7" s="15">
        <v>2</v>
      </c>
      <c r="B7" s="13" t="s">
        <v>43</v>
      </c>
      <c r="C7" s="38">
        <v>-3000000</v>
      </c>
      <c r="D7" s="34"/>
      <c r="E7" s="29">
        <v>0.12</v>
      </c>
      <c r="F7" s="27">
        <v>5</v>
      </c>
      <c r="G7" s="47">
        <f>FV(E7,F7,D7,C7)</f>
        <v>5287025.0496000014</v>
      </c>
      <c r="H7" s="50">
        <v>0</v>
      </c>
      <c r="I7" s="15"/>
      <c r="J7" s="13"/>
      <c r="K7" s="13"/>
    </row>
    <row r="8" spans="1:11" ht="24.95" customHeight="1" x14ac:dyDescent="0.25">
      <c r="A8" s="15"/>
      <c r="B8" s="13"/>
      <c r="C8" s="38">
        <v>-3000000</v>
      </c>
      <c r="D8" s="34"/>
      <c r="E8" s="46">
        <f>RATE(F8,D8,C8,G8)</f>
        <v>0.10756634324829134</v>
      </c>
      <c r="F8" s="27">
        <v>5</v>
      </c>
      <c r="G8" s="38">
        <v>5000000</v>
      </c>
      <c r="H8" s="50">
        <v>0</v>
      </c>
      <c r="I8" s="15"/>
      <c r="J8" s="13"/>
      <c r="K8" s="13"/>
    </row>
    <row r="9" spans="1:11" ht="24.95" customHeight="1" x14ac:dyDescent="0.25">
      <c r="A9" s="15"/>
      <c r="B9" s="13"/>
      <c r="C9" s="38">
        <v>-3000000</v>
      </c>
      <c r="D9" s="34"/>
      <c r="E9" s="29">
        <v>0.12</v>
      </c>
      <c r="F9" s="48">
        <f>NPER(E9,D9,C9,G9)</f>
        <v>4.5074697759193336</v>
      </c>
      <c r="G9" s="38">
        <v>5000000</v>
      </c>
      <c r="H9" s="50">
        <v>0</v>
      </c>
      <c r="I9" s="15"/>
      <c r="J9" s="13"/>
      <c r="K9" s="13"/>
    </row>
    <row r="10" spans="1:11" ht="24.95" customHeight="1" x14ac:dyDescent="0.25">
      <c r="A10" s="15"/>
      <c r="B10" s="13"/>
      <c r="C10" s="32"/>
      <c r="D10" s="32"/>
      <c r="E10" s="29"/>
      <c r="F10" s="27"/>
      <c r="G10" s="32"/>
      <c r="H10" s="15"/>
    </row>
    <row r="11" spans="1:11" ht="24.95" customHeight="1" x14ac:dyDescent="0.25">
      <c r="A11" s="15">
        <v>3</v>
      </c>
      <c r="B11" s="35" t="s">
        <v>44</v>
      </c>
      <c r="C11" s="27">
        <v>0</v>
      </c>
      <c r="D11" s="51">
        <f>PMT(E11,F11,C11,G11,H11)</f>
        <v>-6479.0556690382164</v>
      </c>
      <c r="E11" s="65">
        <f>NOMINAL(10%,12)/12</f>
        <v>7.9741404289037643E-3</v>
      </c>
      <c r="F11" s="27">
        <f>5*12</f>
        <v>60</v>
      </c>
      <c r="G11" s="49">
        <v>500000</v>
      </c>
      <c r="H11" s="15">
        <v>1</v>
      </c>
    </row>
    <row r="12" spans="1:11" ht="24.95" customHeight="1" x14ac:dyDescent="0.25">
      <c r="A12" s="15"/>
      <c r="B12" s="13"/>
      <c r="C12" s="32"/>
      <c r="D12" s="32"/>
      <c r="E12" s="29"/>
      <c r="F12" s="27"/>
      <c r="G12" s="32"/>
      <c r="H12" s="15"/>
    </row>
    <row r="13" spans="1:11" ht="24.95" customHeight="1" x14ac:dyDescent="0.25">
      <c r="A13" s="15">
        <v>4</v>
      </c>
      <c r="B13" s="13" t="s">
        <v>46</v>
      </c>
      <c r="C13" s="32"/>
      <c r="D13" s="49">
        <v>-1000</v>
      </c>
      <c r="E13" s="29">
        <v>0.1</v>
      </c>
      <c r="F13" s="27">
        <v>5</v>
      </c>
      <c r="G13" s="45">
        <f>FV(E13,F13,D13,C13,H13)</f>
        <v>6105.1000000000058</v>
      </c>
      <c r="H13" s="15">
        <v>0</v>
      </c>
    </row>
    <row r="14" spans="1:11" ht="24.95" customHeight="1" x14ac:dyDescent="0.25">
      <c r="A14" s="15"/>
      <c r="B14" s="13" t="s">
        <v>47</v>
      </c>
      <c r="C14" s="32"/>
      <c r="D14" s="49">
        <v>-1000</v>
      </c>
      <c r="E14" s="29">
        <v>0.1</v>
      </c>
      <c r="F14" s="27">
        <v>5</v>
      </c>
      <c r="G14" s="45">
        <f>FV(E14,F14,D14,C14,H14)</f>
        <v>6715.6100000000069</v>
      </c>
      <c r="H14" s="15">
        <v>1</v>
      </c>
    </row>
    <row r="15" spans="1:11" ht="24.95" customHeight="1" x14ac:dyDescent="0.25">
      <c r="A15" s="15"/>
      <c r="B15" s="13"/>
      <c r="C15" s="32"/>
      <c r="D15" s="32"/>
      <c r="E15" s="29"/>
      <c r="F15" s="27"/>
      <c r="G15" s="32"/>
      <c r="H15" s="15"/>
    </row>
    <row r="16" spans="1:11" ht="24.95" customHeight="1" x14ac:dyDescent="0.25">
      <c r="A16" s="15">
        <v>1</v>
      </c>
      <c r="B16" s="13" t="s">
        <v>48</v>
      </c>
      <c r="C16" s="49">
        <v>-10000</v>
      </c>
      <c r="D16" s="32"/>
      <c r="E16" s="29">
        <v>0.08</v>
      </c>
      <c r="F16" s="27">
        <v>5</v>
      </c>
      <c r="G16" s="45">
        <f t="shared" ref="G16:G19" si="0">FV(E16,F16,D16,C16,H16)</f>
        <v>14693.280768000004</v>
      </c>
      <c r="H16" s="15"/>
    </row>
    <row r="17" spans="1:8" ht="24.95" customHeight="1" x14ac:dyDescent="0.25">
      <c r="A17" s="15"/>
      <c r="B17" s="13"/>
      <c r="C17" s="49">
        <v>-10000</v>
      </c>
      <c r="D17" s="32"/>
      <c r="E17" s="29">
        <v>0.1</v>
      </c>
      <c r="F17" s="27">
        <v>5</v>
      </c>
      <c r="G17" s="45">
        <f t="shared" si="0"/>
        <v>16105.100000000006</v>
      </c>
      <c r="H17" s="15"/>
    </row>
    <row r="18" spans="1:8" ht="24.95" customHeight="1" x14ac:dyDescent="0.25">
      <c r="A18" s="15"/>
      <c r="B18" s="13"/>
      <c r="C18" s="49">
        <v>-10000</v>
      </c>
      <c r="D18" s="32"/>
      <c r="E18" s="29">
        <v>0.12</v>
      </c>
      <c r="F18" s="27">
        <v>5</v>
      </c>
      <c r="G18" s="45">
        <f t="shared" si="0"/>
        <v>17623.416832000006</v>
      </c>
      <c r="H18" s="15"/>
    </row>
    <row r="19" spans="1:8" ht="24.95" customHeight="1" x14ac:dyDescent="0.25">
      <c r="A19" s="15"/>
      <c r="B19" s="13"/>
      <c r="C19" s="49">
        <v>-10000</v>
      </c>
      <c r="D19" s="32"/>
      <c r="E19" s="29">
        <v>0.15</v>
      </c>
      <c r="F19" s="27">
        <v>5</v>
      </c>
      <c r="G19" s="45">
        <f t="shared" si="0"/>
        <v>20113.571874999994</v>
      </c>
      <c r="H19" s="15"/>
    </row>
    <row r="20" spans="1:8" ht="24.95" customHeight="1" x14ac:dyDescent="0.25">
      <c r="A20" s="15"/>
      <c r="B20" s="13"/>
      <c r="C20" s="32"/>
      <c r="D20" s="32"/>
      <c r="E20" s="29"/>
      <c r="F20" s="27"/>
      <c r="G20" s="32"/>
      <c r="H20" s="15"/>
    </row>
    <row r="21" spans="1:8" ht="24.95" customHeight="1" x14ac:dyDescent="0.25">
      <c r="A21" s="15">
        <v>2</v>
      </c>
      <c r="B21" s="13" t="s">
        <v>49</v>
      </c>
      <c r="C21" s="56">
        <f>PV(E21,F21,D21,G21,)</f>
        <v>-2301.5466650147027</v>
      </c>
      <c r="D21" s="32"/>
      <c r="E21" s="29">
        <v>0.08</v>
      </c>
      <c r="F21" s="27">
        <v>40</v>
      </c>
      <c r="G21" s="49">
        <v>50000</v>
      </c>
      <c r="H21" s="15"/>
    </row>
    <row r="22" spans="1:8" ht="24.95" customHeight="1" x14ac:dyDescent="0.25">
      <c r="A22" s="15"/>
      <c r="B22" s="13"/>
      <c r="C22" s="32"/>
      <c r="D22" s="32"/>
      <c r="E22" s="29"/>
      <c r="F22" s="27"/>
      <c r="G22" s="32"/>
      <c r="H22" s="15"/>
    </row>
    <row r="23" spans="1:8" ht="24.95" customHeight="1" x14ac:dyDescent="0.25">
      <c r="A23" s="15">
        <v>3</v>
      </c>
      <c r="B23" s="13" t="s">
        <v>50</v>
      </c>
      <c r="C23" s="55">
        <f>PV(E23,F23,D23,G23,0)</f>
        <v>-1000.0000000000001</v>
      </c>
      <c r="D23" s="49">
        <v>90</v>
      </c>
      <c r="E23" s="29">
        <v>0.09</v>
      </c>
      <c r="F23" s="27">
        <v>9</v>
      </c>
      <c r="G23" s="49">
        <v>1000</v>
      </c>
      <c r="H23" s="15">
        <v>0</v>
      </c>
    </row>
    <row r="24" spans="1:8" ht="24.95" customHeight="1" x14ac:dyDescent="0.25">
      <c r="A24" s="15"/>
      <c r="B24" s="13"/>
      <c r="C24" s="53">
        <f>PV(E24,F24,D24,G24,0)</f>
        <v>-1070.2358154093258</v>
      </c>
      <c r="D24" s="49">
        <f>8%*G24</f>
        <v>80</v>
      </c>
      <c r="E24" s="29">
        <v>7.0000000000000007E-2</v>
      </c>
      <c r="F24" s="27">
        <v>10</v>
      </c>
      <c r="G24" s="49">
        <v>1000</v>
      </c>
      <c r="H24" s="15">
        <v>0</v>
      </c>
    </row>
    <row r="25" spans="1:8" ht="24.95" customHeight="1" x14ac:dyDescent="0.25">
      <c r="A25" s="15"/>
      <c r="B25" s="13"/>
      <c r="C25" s="32"/>
      <c r="D25" s="32"/>
      <c r="E25" s="29"/>
      <c r="F25" s="27"/>
      <c r="G25" s="32"/>
      <c r="H25" s="15"/>
    </row>
    <row r="26" spans="1:8" ht="24.95" customHeight="1" x14ac:dyDescent="0.25">
      <c r="A26" s="15">
        <v>4</v>
      </c>
      <c r="B26" s="13" t="s">
        <v>0</v>
      </c>
      <c r="C26" s="26">
        <v>-3000</v>
      </c>
      <c r="D26" s="26">
        <v>0</v>
      </c>
      <c r="E26" s="54">
        <f>RATE(F26,D26,C26,G26,H26)</f>
        <v>0.22221175832283513</v>
      </c>
      <c r="F26" s="27">
        <v>6</v>
      </c>
      <c r="G26" s="26">
        <v>10000</v>
      </c>
      <c r="H26" s="15">
        <v>1</v>
      </c>
    </row>
    <row r="27" spans="1:8" ht="24.95" customHeight="1" x14ac:dyDescent="0.25">
      <c r="A27" s="15"/>
      <c r="B27" s="13"/>
      <c r="C27" s="26"/>
      <c r="D27" s="26"/>
      <c r="E27" s="29"/>
      <c r="F27" s="27"/>
      <c r="G27" s="26"/>
      <c r="H27" s="15"/>
    </row>
    <row r="28" spans="1:8" ht="24.95" customHeight="1" x14ac:dyDescent="0.25">
      <c r="A28" s="15">
        <v>5</v>
      </c>
      <c r="B28" s="35" t="s">
        <v>40</v>
      </c>
      <c r="C28" s="26">
        <v>-3000</v>
      </c>
      <c r="D28" s="36">
        <v>0</v>
      </c>
      <c r="E28" s="29">
        <v>0.12</v>
      </c>
      <c r="F28" s="53">
        <f>NPER(E28,D28,C28,G28,H28)</f>
        <v>6.1162553741996994</v>
      </c>
      <c r="G28" s="26">
        <v>6000</v>
      </c>
      <c r="H28" s="15">
        <v>0</v>
      </c>
    </row>
    <row r="29" spans="1:8" ht="24.95" customHeight="1" x14ac:dyDescent="0.25">
      <c r="A29" s="15"/>
      <c r="B29" s="35" t="s">
        <v>51</v>
      </c>
      <c r="C29" s="26"/>
      <c r="D29" s="36"/>
      <c r="E29" s="27"/>
      <c r="F29" s="53">
        <f>72/12</f>
        <v>6</v>
      </c>
      <c r="G29" s="26"/>
      <c r="H29" s="15"/>
    </row>
    <row r="30" spans="1:8" ht="24.95" customHeight="1" x14ac:dyDescent="0.25">
      <c r="A30" s="15"/>
      <c r="B30" s="13"/>
      <c r="C30" s="26"/>
      <c r="D30" s="26"/>
      <c r="E30" s="29"/>
      <c r="F30" s="27"/>
      <c r="G30" s="26"/>
      <c r="H30" s="15"/>
    </row>
    <row r="31" spans="1:8" ht="24.95" customHeight="1" x14ac:dyDescent="0.25">
      <c r="A31" s="15">
        <v>6</v>
      </c>
      <c r="B31" s="13" t="s">
        <v>52</v>
      </c>
      <c r="C31" s="26">
        <v>0</v>
      </c>
      <c r="D31" s="57">
        <f>PMT(E31,F31,C31,G31,H31)</f>
        <v>-3955.2548930174717</v>
      </c>
      <c r="E31" s="29">
        <f>NOMINAL(11%,12)/12</f>
        <v>8.7345938235519061E-3</v>
      </c>
      <c r="F31" s="27">
        <f>30*12</f>
        <v>360</v>
      </c>
      <c r="G31" s="26">
        <v>10000000</v>
      </c>
      <c r="H31" s="15">
        <v>1</v>
      </c>
    </row>
    <row r="32" spans="1:8" ht="24.95" customHeight="1" x14ac:dyDescent="0.25">
      <c r="A32" s="15"/>
      <c r="B32" s="13"/>
      <c r="C32" s="26"/>
      <c r="D32" s="36"/>
      <c r="E32" s="29"/>
      <c r="F32" s="27"/>
      <c r="G32" s="26"/>
      <c r="H32" s="15"/>
    </row>
    <row r="33" spans="1:8" ht="24.95" customHeight="1" x14ac:dyDescent="0.25">
      <c r="A33" s="15"/>
      <c r="B33" s="13"/>
      <c r="C33" s="26"/>
      <c r="D33" s="26"/>
      <c r="E33" s="29"/>
      <c r="F33" s="27"/>
      <c r="G33" s="37"/>
      <c r="H33" s="15"/>
    </row>
  </sheetData>
  <pageMargins left="0.25" right="0.25" top="0.75" bottom="0.75" header="0.3" footer="0.3"/>
  <pageSetup paperSize="9" orientation="landscape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Returns</vt:lpstr>
      <vt:lpstr>Risk</vt:lpstr>
      <vt:lpstr>TVM</vt:lpstr>
      <vt:lpstr>TVM!Print_Titles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2021-05-25T01:58:34Z</dcterms:created>
  <dcterms:modified xsi:type="dcterms:W3CDTF">2021-11-12T08:29:52Z</dcterms:modified>
</cp:coreProperties>
</file>